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33016\Desktop\"/>
    </mc:Choice>
  </mc:AlternateContent>
  <xr:revisionPtr revIDLastSave="0" documentId="13_ncr:1_{F5ED9917-0DA4-43C7-AAC5-525D8CFA728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alcul" sheetId="1" r:id="rId1"/>
    <sheet name="Aide Allocataire CAF" sheetId="4" r:id="rId2"/>
    <sheet name="Aide Revenus" sheetId="5" r:id="rId3"/>
    <sheet name="Contribution volontaire" sheetId="6" r:id="rId4"/>
    <sheet name="param" sheetId="2" state="hidden" r:id="rId5"/>
    <sheet name="Sheet3" sheetId="3" state="hidden" r:id="rId6"/>
  </sheets>
  <definedNames>
    <definedName name="caf">Calcul!$B$7</definedName>
    <definedName name="contrib_valeur">param!$B$45:$F$48</definedName>
    <definedName name="contrib_vol">param!$B$39:$B$41</definedName>
    <definedName name="nb_enfants">param!$A$2:$B$6</definedName>
    <definedName name="plafond_caf">param!$B$8</definedName>
    <definedName name="plancher_caf">param!$B$9</definedName>
    <definedName name="revenus_net">Calcul!$B$8</definedName>
    <definedName name="tbl_annee">param!$A$24:$F$36</definedName>
    <definedName name="tx_horaire">Calcul!$B$14</definedName>
    <definedName name="tx_non_caf">param!$B$12:$D$14</definedName>
    <definedName name="type_acceuil">param!$A$17:$B$21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E35" i="2" l="1"/>
  <c r="B28" i="1"/>
  <c r="A28" i="1" s="1"/>
  <c r="B19" i="1"/>
  <c r="B18" i="1" s="1"/>
  <c r="C18" i="1" s="1"/>
  <c r="B27" i="1"/>
  <c r="A27" i="1" s="1"/>
  <c r="B26" i="1"/>
  <c r="A26" i="1" s="1"/>
  <c r="B25" i="1"/>
  <c r="A25" i="1" s="1"/>
  <c r="B24" i="1"/>
  <c r="A24" i="1" s="1"/>
  <c r="B23" i="1"/>
  <c r="A23" i="1" s="1"/>
  <c r="B22" i="1"/>
  <c r="A22" i="1" s="1"/>
  <c r="B21" i="1"/>
  <c r="A21" i="1" s="1"/>
  <c r="B20" i="1"/>
  <c r="A20" i="1" s="1"/>
  <c r="E25" i="2"/>
  <c r="B34" i="1"/>
  <c r="A18" i="1" l="1"/>
  <c r="A19" i="1"/>
  <c r="B14" i="1" l="1"/>
  <c r="D13" i="2"/>
  <c r="D14" i="2"/>
  <c r="D12" i="2"/>
  <c r="E26" i="2"/>
  <c r="C20" i="1" s="1"/>
  <c r="E27" i="2"/>
  <c r="C21" i="1" s="1"/>
  <c r="E28" i="2"/>
  <c r="C22" i="1" s="1"/>
  <c r="E29" i="2"/>
  <c r="C23" i="1" s="1"/>
  <c r="E30" i="2"/>
  <c r="C24" i="1" s="1"/>
  <c r="E31" i="2"/>
  <c r="C25" i="1" s="1"/>
  <c r="E32" i="2"/>
  <c r="C26" i="1" s="1"/>
  <c r="E33" i="2"/>
  <c r="C27" i="1" s="1"/>
  <c r="E34" i="2"/>
  <c r="C28" i="1" s="1"/>
  <c r="C19" i="1"/>
  <c r="A9" i="1"/>
  <c r="D8" i="1"/>
  <c r="D18" i="1" l="1"/>
  <c r="D25" i="1"/>
  <c r="D21" i="1"/>
  <c r="D22" i="1"/>
  <c r="D19" i="1"/>
  <c r="D27" i="1"/>
  <c r="D26" i="1"/>
  <c r="D23" i="1"/>
  <c r="D20" i="1"/>
  <c r="D24" i="1"/>
  <c r="D28" i="1"/>
  <c r="B31" i="1"/>
  <c r="C31" i="1" l="1"/>
  <c r="D3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FLORENTZ David</author>
    <author>david</author>
  </authors>
  <commentList>
    <comment ref="A7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Choix possible: 
</t>
        </r>
        <r>
          <rPr>
            <sz val="8"/>
            <color indexed="81"/>
            <rFont val="Tahoma"/>
            <family val="2"/>
          </rPr>
          <t>Oui
Non</t>
        </r>
      </text>
    </comment>
    <comment ref="A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Choix possible;
</t>
        </r>
        <r>
          <rPr>
            <sz val="9"/>
            <color indexed="81"/>
            <rFont val="Tahoma"/>
            <family val="2"/>
          </rPr>
          <t>1
2
3
4 et plus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 xml:space="preserve">Choix possible: 
</t>
        </r>
        <r>
          <rPr>
            <sz val="8"/>
            <color indexed="81"/>
            <rFont val="Tahoma"/>
            <family val="2"/>
          </rPr>
          <t>Permanent - uniquement Mercredi AM
Permanent - 4,5 jours/semaine
Permanent - 5 jours/semaine
Occasionnel - 4 jours/semaine
Occasionnel - 5 jours/semaine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<sst xmlns="http://schemas.openxmlformats.org/spreadsheetml/2006/main" count="166" uniqueCount="115">
  <si>
    <t>Estimation des coûts de la Buissonnière de l'Aar par enfant</t>
  </si>
  <si>
    <t>Les tarifs sont fournis à titre indicatif et peuvent varier sensiblement</t>
  </si>
  <si>
    <t>L'adhésion est de 50 euros par famille (de septembre à août)</t>
  </si>
  <si>
    <t>(Complétez uniquement les zones en vert ou jaune)</t>
  </si>
  <si>
    <t>Etes-vous allocataire CAF relevant du régime général?</t>
  </si>
  <si>
    <t>Oui</t>
  </si>
  <si>
    <r>
      <t xml:space="preserve">Montant  total de vos revenus </t>
    </r>
    <r>
      <rPr>
        <b/>
        <u/>
        <sz val="12"/>
        <color theme="1"/>
        <rFont val="Calibri"/>
        <family val="2"/>
        <scheme val="minor"/>
      </rPr>
      <t>nets annuels</t>
    </r>
    <r>
      <rPr>
        <b/>
        <sz val="11"/>
        <color theme="1"/>
        <rFont val="Calibri"/>
        <family val="2"/>
        <scheme val="minor"/>
      </rPr>
      <t xml:space="preserve"> imposables?</t>
    </r>
  </si>
  <si>
    <t>Si vous êtes allocataire de l'AEEH ajoutez un enfant supplémentaire à charge</t>
  </si>
  <si>
    <t>Type d'accueil souhaité?</t>
  </si>
  <si>
    <t>Permanent - 4,5 jours/semaine</t>
  </si>
  <si>
    <r>
      <rPr>
        <b/>
        <sz val="11"/>
        <color theme="1"/>
        <rFont val="Calibri"/>
        <family val="2"/>
        <scheme val="minor"/>
      </rPr>
      <t>Permanent</t>
    </r>
    <r>
      <rPr>
        <sz val="11"/>
        <color theme="1"/>
        <rFont val="Calibri"/>
        <family val="2"/>
        <scheme val="minor"/>
      </rPr>
      <t xml:space="preserve"> =  </t>
    </r>
    <r>
      <rPr>
        <sz val="11"/>
        <color rgb="FFFF0000"/>
        <rFont val="Calibri"/>
        <family val="2"/>
        <scheme val="minor"/>
      </rPr>
      <t xml:space="preserve">en période scolaire </t>
    </r>
    <r>
      <rPr>
        <sz val="11"/>
        <color theme="1"/>
        <rFont val="Calibri"/>
        <family val="2"/>
        <scheme val="minor"/>
      </rPr>
      <t>(un contrat est signé)</t>
    </r>
  </si>
  <si>
    <t>Votre taux horaire</t>
  </si>
  <si>
    <t>Nombre de jours d'accueil</t>
  </si>
  <si>
    <t>Nombre d'heures d'accueuil</t>
  </si>
  <si>
    <t>Mensualité à payer (en €)</t>
  </si>
  <si>
    <t>Moyenne/mois</t>
  </si>
  <si>
    <t>Contribution Volontaire annuelle par enfant</t>
  </si>
  <si>
    <t>Voir onglet "Contribution volontaire"</t>
  </si>
  <si>
    <t>Dépense réelle annuelle après déduction fiscale</t>
  </si>
  <si>
    <t>Nombre d'enfants</t>
  </si>
  <si>
    <t>4 et plus</t>
  </si>
  <si>
    <t>Type d'accueil souhaité</t>
  </si>
  <si>
    <t>Accueil permanent les mercredis scolaires toute la journée</t>
  </si>
  <si>
    <t>Accueil permanent au jardin d'enfants 4 jours par semaine (L, M, J ,V )</t>
  </si>
  <si>
    <t>Accueil permanent au jardin d'enfants 5 jours par semaine</t>
  </si>
  <si>
    <t>Accueil occasionnel à la semaine durant les vacances</t>
  </si>
  <si>
    <t>2019/2020 - Nombre de jours scolaires</t>
  </si>
  <si>
    <t>Nb jours scolaires</t>
  </si>
  <si>
    <t>Nb mercredi scolaires</t>
  </si>
  <si>
    <t>Nb jours scolaires hors mercredi</t>
  </si>
  <si>
    <t>Clef</t>
  </si>
  <si>
    <t>ACC1</t>
  </si>
  <si>
    <t>ACC2</t>
  </si>
  <si>
    <t>ACC3</t>
  </si>
  <si>
    <t>Paramétrage</t>
  </si>
  <si>
    <t>Calcul automatique depuis la feille de calcul</t>
  </si>
  <si>
    <t>(ignorer - non allocataire CAF)</t>
  </si>
  <si>
    <t/>
  </si>
  <si>
    <t>Catégorie de revenus</t>
  </si>
  <si>
    <t>supérieurs à 25 000 €</t>
  </si>
  <si>
    <t>Nombre d'heures par jour</t>
  </si>
  <si>
    <t>Allocataire CAF relevant du régime général</t>
  </si>
  <si>
    <t>Nombre d'enfants dans la famille</t>
  </si>
  <si>
    <t xml:space="preserve">Taux d'effort </t>
  </si>
  <si>
    <t>Non allocataires CAF relevant de régime spécifique</t>
  </si>
  <si>
    <t>revenus annuels imposables</t>
  </si>
  <si>
    <t>inférieurs à 20 000 €</t>
  </si>
  <si>
    <t>entre 20 000 € et 25 000 €</t>
  </si>
  <si>
    <t>Taux horaire</t>
  </si>
  <si>
    <t>Paramètres des seuils - ressources CAF</t>
  </si>
  <si>
    <t>Ressources min CAF</t>
  </si>
  <si>
    <t>Ressources max CAF</t>
  </si>
  <si>
    <t>Paramètres des zones à compléter</t>
  </si>
  <si>
    <t>Non</t>
  </si>
  <si>
    <t>Accueil occasionnel -nombre de jours par semaine à la Buissonnière?</t>
  </si>
  <si>
    <t>valeur</t>
  </si>
  <si>
    <t>4 jours</t>
  </si>
  <si>
    <t>5 jours</t>
  </si>
  <si>
    <t>Accueil permanent/occasionnel - répartition du nombre d'heures par jour</t>
  </si>
  <si>
    <t>Type d'accueil</t>
  </si>
  <si>
    <t>Nb d'heures par jour</t>
  </si>
  <si>
    <t>Permanent - uniquement Mercredi AM</t>
  </si>
  <si>
    <t>permanent</t>
  </si>
  <si>
    <t>-</t>
  </si>
  <si>
    <t>Permanent - 5 jours/semaine</t>
  </si>
  <si>
    <t>Occasionnel - 4 jours/semaine</t>
  </si>
  <si>
    <t>occasionnel</t>
  </si>
  <si>
    <t>Occasionnel - 5 jours/semaine</t>
  </si>
  <si>
    <t>Accueil permanent - répartition du nombre de jours par mois</t>
  </si>
  <si>
    <t>N mois</t>
  </si>
  <si>
    <t>Mois</t>
  </si>
  <si>
    <t>Septembre</t>
  </si>
  <si>
    <t>Octobre</t>
  </si>
  <si>
    <t>Novembre</t>
  </si>
  <si>
    <t>Decembre</t>
  </si>
  <si>
    <t>Janvier</t>
  </si>
  <si>
    <t>Février</t>
  </si>
  <si>
    <t>Mars</t>
  </si>
  <si>
    <t>Avril</t>
  </si>
  <si>
    <t>Mai</t>
  </si>
  <si>
    <t>Juin</t>
  </si>
  <si>
    <t>Juillet</t>
  </si>
  <si>
    <t>Contribution annuelle volontaire par enfant</t>
  </si>
  <si>
    <t>Revenus annuels imposables</t>
  </si>
  <si>
    <t>Allocataires CAF régime général</t>
  </si>
  <si>
    <t>Non allocataires CAF régime général</t>
  </si>
  <si>
    <t>Maximum Tranche</t>
  </si>
  <si>
    <t>Montant tranche</t>
  </si>
  <si>
    <t>Minimum tranche 1</t>
  </si>
  <si>
    <t>Minimum tranche 2</t>
  </si>
  <si>
    <t>Minimum tranche 3</t>
  </si>
  <si>
    <t>ACC4</t>
  </si>
  <si>
    <t>Occasionel</t>
  </si>
  <si>
    <t>Une semaine</t>
  </si>
  <si>
    <t>Comment calculer mes ressources - allocataire CAF</t>
  </si>
  <si>
    <t>Applicable uniquement pour les allocataires CAF</t>
  </si>
  <si>
    <t>Besoin d'aide par des exemples ? Voir onglet 'Aide-revenus'</t>
  </si>
  <si>
    <t>Exemple 1: sont pris en compte les revenus nets du salaire et assimilés +revenus d'une pension + fonciers nets</t>
  </si>
  <si>
    <t>Exemple 2 : sont pris en comptes les revenus du salaires nets ainsi que les  revenus fonciers et étrangers nets</t>
  </si>
  <si>
    <t>Contribution Volontaire</t>
  </si>
  <si>
    <t>Montant additionel tranche précédente</t>
  </si>
  <si>
    <t>Clé</t>
  </si>
  <si>
    <t>Revenus annuels nets imposables de la famille</t>
  </si>
  <si>
    <t>Inférieurs à 20 000 €</t>
  </si>
  <si>
    <t>Inférieurs à 25 000 €</t>
  </si>
  <si>
    <t>Supérieurs à 25 000 €</t>
  </si>
  <si>
    <t>Régulier 4j</t>
  </si>
  <si>
    <t>Régulier 5j</t>
  </si>
  <si>
    <t>Occasionnel</t>
  </si>
  <si>
    <t>Montant Contribution volontaire</t>
  </si>
  <si>
    <t>Les revenus à prendre en compte sont ceux de l'année N-2 (donc 2020 pour 2022)</t>
  </si>
  <si>
    <t>Barême CAF 2022</t>
  </si>
  <si>
    <t>Plafond Taux d'effort 2022</t>
  </si>
  <si>
    <t>Plancher Taux d'effort 2022</t>
  </si>
  <si>
    <t>L'accueil de votre enfant dans notre structure (JdE ou Accueil de Loisirs) ouvre le droit à un crédit ou à une réduction de 50% des frais annuels dans la limite du plafond autorisé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</si>
</sst>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\ &quot;€&quot;;[Red]\-#,##0\ &quot;€&quot;"/>
    <numFmt numFmtId="165" formatCode="#,##0.00\ &quot;€&quot;;[Red]\-#,##0.00\ &quot;€&quot;"/>
    <numFmt numFmtId="166" formatCode="#,##0\ &quot;€&quot;"/>
    <numFmt numFmtId="167" formatCode="0.0"/>
    <numFmt numFmtId="168" formatCode="0.0000%"/>
    <numFmt numFmtId="169" formatCode="#,##0.000\ &quot;€&quot;"/>
  </numFmts>
  <fonts count="1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Liberation Serif"/>
      <family val="1"/>
    </font>
    <font>
      <b/>
      <sz val="12"/>
      <color theme="1"/>
      <name val="Liberation Serif"/>
      <family val="1"/>
    </font>
    <font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6" fontId="2" fillId="5" borderId="1" xfId="0" applyNumberFormat="1" applyFont="1" applyFill="1" applyBorder="1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left"/>
    </xf>
    <xf numFmtId="167" fontId="0" fillId="5" borderId="1" xfId="0" applyNumberFormat="1" applyFill="1" applyBorder="1" applyAlignment="1">
      <alignment horizontal="center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168" fontId="0" fillId="0" borderId="0" xfId="0" applyNumberFormat="1"/>
    <xf numFmtId="164" fontId="0" fillId="0" borderId="0" xfId="0" applyNumberFormat="1"/>
    <xf numFmtId="165" fontId="0" fillId="0" borderId="0" xfId="0" applyNumberFormat="1"/>
    <xf numFmtId="17" fontId="0" fillId="0" borderId="0" xfId="0" applyNumberFormat="1"/>
    <xf numFmtId="169" fontId="0" fillId="5" borderId="1" xfId="0" applyNumberFormat="1" applyFill="1" applyBorder="1" applyAlignment="1">
      <alignment horizontal="center"/>
    </xf>
    <xf numFmtId="17" fontId="2" fillId="4" borderId="1" xfId="0" applyNumberFormat="1" applyFont="1" applyFill="1" applyBorder="1"/>
    <xf numFmtId="0" fontId="0" fillId="0" borderId="0" xfId="0" applyFont="1"/>
    <xf numFmtId="0" fontId="2" fillId="5" borderId="1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0" fillId="0" borderId="0" xfId="0" quotePrefix="1"/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0" fillId="0" borderId="0" xfId="0" applyAlignment="1">
      <alignment wrapText="1"/>
    </xf>
    <xf numFmtId="0" fontId="13" fillId="0" borderId="0" xfId="0" applyFont="1" applyAlignment="1">
      <alignment horizontal="center" vertical="center" wrapText="1"/>
    </xf>
  </cellXfs>
  <cellStyles count="1">
    <cellStyle name="Normal" xfId="0" builtinId="0"/>
  </cellStyles>
  <dxfs count="1"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470648</xdr:colOff>
      <xdr:row>7</xdr:row>
      <xdr:rowOff>67236</xdr:rowOff>
    </xdr:from>
    <xdr:to>
      <xdr:col>2</xdr:col>
      <xdr:colOff>1445559</xdr:colOff>
      <xdr:row>7</xdr:row>
      <xdr:rowOff>257735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77CB5C86-61DA-4F3B-A4F8-776E35DE4D6E}"/>
            </a:ext>
          </a:extLst>
        </xdr:cNvPr>
        <xdr:cNvSpPr/>
      </xdr:nvSpPr>
      <xdr:spPr>
        <a:xfrm>
          <a:off x="6255498" y="1749986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481853</xdr:colOff>
      <xdr:row>8</xdr:row>
      <xdr:rowOff>67235</xdr:rowOff>
    </xdr:from>
    <xdr:to>
      <xdr:col>2</xdr:col>
      <xdr:colOff>1456764</xdr:colOff>
      <xdr:row>8</xdr:row>
      <xdr:rowOff>257734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B0667BBD-D207-4C8C-BD66-2A31120BC87D}"/>
            </a:ext>
          </a:extLst>
        </xdr:cNvPr>
        <xdr:cNvSpPr/>
      </xdr:nvSpPr>
      <xdr:spPr>
        <a:xfrm>
          <a:off x="6266703" y="2226235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481853</xdr:colOff>
      <xdr:row>9</xdr:row>
      <xdr:rowOff>246529</xdr:rowOff>
    </xdr:from>
    <xdr:to>
      <xdr:col>2</xdr:col>
      <xdr:colOff>1456764</xdr:colOff>
      <xdr:row>9</xdr:row>
      <xdr:rowOff>437028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C0C42833-B51B-40B7-B3B2-86DB3DF5CA4C}"/>
            </a:ext>
          </a:extLst>
        </xdr:cNvPr>
        <xdr:cNvSpPr/>
      </xdr:nvSpPr>
      <xdr:spPr>
        <a:xfrm>
          <a:off x="6266703" y="2710329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493059</xdr:colOff>
      <xdr:row>32</xdr:row>
      <xdr:rowOff>11205</xdr:rowOff>
    </xdr:from>
    <xdr:to>
      <xdr:col>2</xdr:col>
      <xdr:colOff>1467970</xdr:colOff>
      <xdr:row>33</xdr:row>
      <xdr:rowOff>11204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EB06D8FA-BFA2-4BA9-A12C-424A5902C300}"/>
            </a:ext>
          </a:extLst>
        </xdr:cNvPr>
        <xdr:cNvSpPr/>
      </xdr:nvSpPr>
      <xdr:spPr>
        <a:xfrm>
          <a:off x="6277909" y="7288305"/>
          <a:ext cx="974911" cy="18414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646736</xdr:colOff>
      <xdr:row>28</xdr:row>
      <xdr:rowOff>28000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ED4E71-B9D4-414D-8FE7-C90FAB7C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87400"/>
          <a:ext cx="8000036" cy="444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5</xdr:col>
      <xdr:colOff>618165</xdr:colOff>
      <xdr:row>59</xdr:row>
      <xdr:rowOff>27834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E761CF3-807E-43BD-A0AF-395CE378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207000"/>
          <a:ext cx="7971465" cy="5736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5</xdr:col>
      <xdr:colOff>256241</xdr:colOff>
      <xdr:row>73</xdr:row>
      <xdr:rowOff>104429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9A18A4C-634E-4B68-BDD5-321D96AB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915650"/>
          <a:ext cx="7761941" cy="2682529"/>
        </a:xfrm>
        <a:prstGeom prst="rect">
          <a:avLst/>
        </a:prstGeom>
      </xdr:spPr>
    </xdr:pic>
    <xdr:clientData/>
  </xdr:twoCellAnchor>
  <xdr:twoCellAnchor>
    <xdr:from>
      <xdr:col>0</xdr:col>
      <xdr:colOff>3324225</xdr:colOff>
      <xdr:row>4</xdr:row>
      <xdr:rowOff>142875</xdr:rowOff>
    </xdr:from>
    <xdr:to>
      <xdr:col>3</xdr:col>
      <xdr:colOff>628650</xdr:colOff>
      <xdr:row>4</xdr:row>
      <xdr:rowOff>171450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831E6234-BDAF-4E8C-BF60-56D14559FE49}"/>
            </a:ext>
          </a:extLst>
        </xdr:cNvPr>
        <xdr:cNvCxnSpPr/>
      </xdr:nvCxnSpPr>
      <xdr:spPr>
        <a:xfrm flipH="1">
          <a:off x="3324225" y="930275"/>
          <a:ext cx="5114925" cy="2857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45507</xdr:rowOff>
    </xdr:from>
    <xdr:to>
      <xdr:col>10</xdr:col>
      <xdr:colOff>211667</xdr:colOff>
      <xdr:row>45</xdr:row>
      <xdr:rowOff>160598</xdr:rowOff>
    </xdr:to>
    <xdr:pic>
      <xdr:nvPicPr>
        <xdr:cNvPr id="2" name="Image 4">
          <a:extLst>
            <a:ext uri="{FF2B5EF4-FFF2-40B4-BE49-F238E27FC236}">
              <a16:creationId xmlns:a16="http://schemas.microsoft.com/office/drawing/2014/main" id="{66FBD8DB-7874-440B-A659-1C4A4DE1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507"/>
          <a:ext cx="6279092" cy="8046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656166</xdr:colOff>
      <xdr:row>3</xdr:row>
      <xdr:rowOff>179917</xdr:rowOff>
    </xdr:from>
    <xdr:to>
      <xdr:col>19</xdr:col>
      <xdr:colOff>472620</xdr:colOff>
      <xdr:row>48</xdr:row>
      <xdr:rowOff>169333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36DF33C3-F6D2-4BBF-AEF6-7DB44643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2166" y="745067"/>
          <a:ext cx="6566504" cy="828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38101</xdr:rowOff>
    </xdr:from>
    <xdr:to>
      <xdr:col>8</xdr:col>
      <xdr:colOff>184463</xdr:colOff>
      <xdr:row>13</xdr:row>
      <xdr:rowOff>127001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93173-229B-4B89-84ED-7391D630B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3045"/>
        <a:stretch/>
      </xdr:blipFill>
      <xdr:spPr>
        <a:xfrm>
          <a:off x="171450" y="38101"/>
          <a:ext cx="6102663" cy="25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13</xdr:row>
      <xdr:rowOff>129140</xdr:rowOff>
    </xdr:from>
    <xdr:to>
      <xdr:col>8</xdr:col>
      <xdr:colOff>196851</xdr:colOff>
      <xdr:row>24</xdr:row>
      <xdr:rowOff>6464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6B2F44-FAB5-4A49-A332-21F5E915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1" y="2561190"/>
          <a:ext cx="5962650" cy="1902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299357</xdr:colOff>
      <xdr:row>11</xdr:row>
      <xdr:rowOff>18143</xdr:rowOff>
    </xdr:from>
    <xdr:to>
      <xdr:col>17</xdr:col>
      <xdr:colOff>545560</xdr:colOff>
      <xdr:row>35</xdr:row>
      <xdr:rowOff>166238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4CFD00-73E9-4123-A015-FB09E805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88286" y="2013857"/>
          <a:ext cx="7131417" cy="45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tabSelected="1" zoomScale="90" zoomScaleNormal="90" workbookViewId="0">
      <selection activeCell="D33" sqref="D33"/>
    </sheetView>
  </sheetViews>
  <sheetFormatPr defaultColWidth="8.90625" defaultRowHeight="14.5"/>
  <cols>
    <col min="1" max="1" width="51.1796875" customWidth="1"/>
    <col min="2" max="2" width="28.90625" customWidth="1"/>
    <col min="3" max="3" width="9.6328125" customWidth="1"/>
    <col min="4" max="4" width="60.81640625" customWidth="1"/>
  </cols>
  <sheetData>
    <row r="1" spans="1:4" ht="28.5">
      <c r="A1" s="1" t="s">
        <v>0</v>
      </c>
    </row>
    <row r="2" spans="1:4" ht="18.5">
      <c r="A2" s="2" t="s">
        <v>1</v>
      </c>
    </row>
    <row r="3" spans="1:4" ht="18.5">
      <c r="A3" s="3" t="s">
        <v>110</v>
      </c>
    </row>
    <row r="4" spans="1:4" ht="15.5">
      <c r="A4" s="4" t="s">
        <v>2</v>
      </c>
    </row>
    <row r="5" spans="1:4">
      <c r="A5" s="5"/>
      <c r="B5" s="6" t="s">
        <v>3</v>
      </c>
    </row>
    <row r="7" spans="1:4">
      <c r="A7" s="7" t="s">
        <v>4</v>
      </c>
      <c r="B7" s="8" t="s">
        <v>5</v>
      </c>
    </row>
    <row r="8" spans="1:4" ht="15.5">
      <c r="A8" s="9" t="s">
        <v>6</v>
      </c>
      <c r="B8" s="8">
        <v>40000</v>
      </c>
      <c r="D8" s="10" t="str">
        <f>IF(B7="Oui","Besoin d'aide? Voir onglet ''Aide-allocataire CAF ou Aide-revenus''",IF(B7="Non","Besoin d'aide? Voir onglet 'Aide-revenus",""))</f>
        <v>Besoin d'aide? Voir onglet ''Aide-allocataire CAF ou Aide-revenus''</v>
      </c>
    </row>
    <row r="9" spans="1:4" ht="29">
      <c r="A9" s="11" t="str">
        <f>IF(B7="Oui","Nombre d'enfants dans la famille","(Ne pas compléter si non allocataire CAF)")</f>
        <v>Nombre d'enfants dans la famille</v>
      </c>
      <c r="B9" s="12">
        <v>2</v>
      </c>
      <c r="D9" s="13" t="s">
        <v>7</v>
      </c>
    </row>
    <row r="10" spans="1:4" ht="29">
      <c r="A10" s="7" t="s">
        <v>8</v>
      </c>
      <c r="B10" s="14" t="s">
        <v>24</v>
      </c>
      <c r="C10" s="15"/>
      <c r="D10" s="16" t="s">
        <v>10</v>
      </c>
    </row>
    <row r="11" spans="1:4">
      <c r="B11" s="17"/>
      <c r="C11" s="17"/>
    </row>
    <row r="14" spans="1:4">
      <c r="A14" s="18" t="s">
        <v>11</v>
      </c>
      <c r="B14" s="33">
        <f>IF(caf="Oui", VLOOKUP(B9,nb_enfants,2,FALSE)*MIN(plafond_caf, MAX(plancher_caf, revenus_net/12)), SUMIF(tx_non_caf, "&lt;"&amp;revenus_net,param!D12:D14))</f>
        <v>1.72</v>
      </c>
      <c r="D14" s="31"/>
    </row>
    <row r="17" spans="1:4" ht="43.5">
      <c r="B17" s="19" t="s">
        <v>12</v>
      </c>
      <c r="C17" s="19" t="s">
        <v>13</v>
      </c>
      <c r="D17" s="19" t="s">
        <v>14</v>
      </c>
    </row>
    <row r="18" spans="1:4">
      <c r="A18" s="34" t="str">
        <f>IF(B18=0,"","Acceuil occasionnel")</f>
        <v/>
      </c>
      <c r="B18" s="20">
        <f>IF(B19&lt;&gt;0,0,HLOOKUP(VLOOKUP($B$10,type_acceuil,2,FALSE),tbl_annee,13,FALSE))</f>
        <v>0</v>
      </c>
      <c r="C18" s="21">
        <f>10*B18</f>
        <v>0</v>
      </c>
      <c r="D18" s="22">
        <f t="shared" ref="D18:D28" si="0">tx_horaire*C18</f>
        <v>0</v>
      </c>
    </row>
    <row r="19" spans="1:4">
      <c r="A19" s="34" t="str">
        <f>IF(B19=0,"","Septembre 2019")</f>
        <v>Septembre 2019</v>
      </c>
      <c r="B19" s="20">
        <f>HLOOKUP(VLOOKUP($B$10,type_acceuil, 2,FALSE), tbl_annee,2,FALSE)</f>
        <v>21</v>
      </c>
      <c r="C19" s="21">
        <f>10*B19</f>
        <v>210</v>
      </c>
      <c r="D19" s="22">
        <f t="shared" si="0"/>
        <v>361.2</v>
      </c>
    </row>
    <row r="20" spans="1:4">
      <c r="A20" s="34" t="str">
        <f>IF(B20=0,"","Octobre 2019")</f>
        <v>Octobre 2019</v>
      </c>
      <c r="B20" s="20">
        <f>HLOOKUP(VLOOKUP($B$10,type_acceuil, 2,FALSE), tbl_annee,3,FALSE)</f>
        <v>16</v>
      </c>
      <c r="C20" s="21">
        <f t="shared" ref="C20:C28" si="1">10*B20</f>
        <v>160</v>
      </c>
      <c r="D20" s="22">
        <f t="shared" si="0"/>
        <v>275.2</v>
      </c>
    </row>
    <row r="21" spans="1:4">
      <c r="A21" s="34" t="str">
        <f>IF(B21=0,"","Novembre 2019")</f>
        <v>Novembre 2019</v>
      </c>
      <c r="B21" s="20">
        <f>HLOOKUP(VLOOKUP($B$10,type_acceuil, 2,FALSE), tbl_annee,4,FALSE)</f>
        <v>16</v>
      </c>
      <c r="C21" s="21">
        <f t="shared" si="1"/>
        <v>160</v>
      </c>
      <c r="D21" s="22">
        <f t="shared" si="0"/>
        <v>275.2</v>
      </c>
    </row>
    <row r="22" spans="1:4">
      <c r="A22" s="34" t="str">
        <f>IF(B22=0,"","Decembre 2019")</f>
        <v>Decembre 2019</v>
      </c>
      <c r="B22" s="20">
        <f>HLOOKUP(VLOOKUP($B$10,type_acceuil, 2,FALSE), tbl_annee,5,FALSE)</f>
        <v>13</v>
      </c>
      <c r="C22" s="21">
        <f t="shared" si="1"/>
        <v>130</v>
      </c>
      <c r="D22" s="22">
        <f t="shared" si="0"/>
        <v>223.6</v>
      </c>
    </row>
    <row r="23" spans="1:4">
      <c r="A23" s="34" t="str">
        <f>IF(B23=0,"","Janvier 2020")</f>
        <v>Janvier 2020</v>
      </c>
      <c r="B23" s="20">
        <f>HLOOKUP(VLOOKUP($B$10,type_acceuil, 2,FALSE), tbl_annee,6,FALSE)</f>
        <v>21</v>
      </c>
      <c r="C23" s="21">
        <f t="shared" si="1"/>
        <v>210</v>
      </c>
      <c r="D23" s="22">
        <f t="shared" si="0"/>
        <v>361.2</v>
      </c>
    </row>
    <row r="24" spans="1:4">
      <c r="A24" s="34" t="str">
        <f>IF(B24=0,"","Fevrier 2020")</f>
        <v>Fevrier 2020</v>
      </c>
      <c r="B24" s="20">
        <f>HLOOKUP(VLOOKUP($B$10,type_acceuil, 2,FALSE), tbl_annee,7,FALSE)</f>
        <v>11</v>
      </c>
      <c r="C24" s="21">
        <f t="shared" si="1"/>
        <v>110</v>
      </c>
      <c r="D24" s="22">
        <f t="shared" si="0"/>
        <v>189.2</v>
      </c>
    </row>
    <row r="25" spans="1:4">
      <c r="A25" s="34" t="str">
        <f>IF(B25=0,"","Mars 2020")</f>
        <v>Mars 2020</v>
      </c>
      <c r="B25" s="20">
        <f>HLOOKUP(VLOOKUP($B$10,type_acceuil, 2,FALSE), tbl_annee,8,FALSE)</f>
        <v>23</v>
      </c>
      <c r="C25" s="21">
        <f t="shared" si="1"/>
        <v>230</v>
      </c>
      <c r="D25" s="22">
        <f t="shared" si="0"/>
        <v>395.59999999999997</v>
      </c>
    </row>
    <row r="26" spans="1:4">
      <c r="A26" s="34" t="str">
        <f>IF(B26=0,"","Avril 2020")</f>
        <v>Avril 2020</v>
      </c>
      <c r="B26" s="20">
        <f>HLOOKUP(VLOOKUP($B$10,type_acceuil, 2,FALSE), tbl_annee,9,FALSE)</f>
        <v>12</v>
      </c>
      <c r="C26" s="21">
        <f t="shared" si="1"/>
        <v>120</v>
      </c>
      <c r="D26" s="22">
        <f t="shared" si="0"/>
        <v>206.4</v>
      </c>
    </row>
    <row r="27" spans="1:4">
      <c r="A27" s="34" t="str">
        <f>IF(B27=0,"","Mai 2020")</f>
        <v>Mai 2020</v>
      </c>
      <c r="B27" s="20">
        <f>HLOOKUP(VLOOKUP($B$10,type_acceuil, 2,FALSE), tbl_annee,10,FALSE)</f>
        <v>20</v>
      </c>
      <c r="C27" s="21">
        <f t="shared" si="1"/>
        <v>200</v>
      </c>
      <c r="D27" s="22">
        <f t="shared" si="0"/>
        <v>344</v>
      </c>
    </row>
    <row r="28" spans="1:4">
      <c r="A28" s="34" t="str">
        <f>IF(B28=0,"","Juin 2020")</f>
        <v>Juin 2020</v>
      </c>
      <c r="B28" s="20">
        <f>HLOOKUP(VLOOKUP($B$10,type_acceuil, 2,FALSE), tbl_annee,11,FALSE)</f>
        <v>21</v>
      </c>
      <c r="C28" s="21">
        <f t="shared" si="1"/>
        <v>210</v>
      </c>
      <c r="D28" s="22">
        <f t="shared" si="0"/>
        <v>361.2</v>
      </c>
    </row>
    <row r="29" spans="1:4">
      <c r="A29" s="18"/>
      <c r="B29" s="20"/>
      <c r="C29" s="21"/>
      <c r="D29" s="22"/>
    </row>
    <row r="30" spans="1:4">
      <c r="A30" s="23"/>
      <c r="B30" s="23"/>
      <c r="C30" s="24"/>
      <c r="D30" s="24"/>
    </row>
    <row r="31" spans="1:4">
      <c r="A31" s="25" t="s">
        <v>15</v>
      </c>
      <c r="B31" s="26">
        <f>IF(ISERROR(AVERAGE(B19:B29)),"",ROUND(AVERAGE(B19:B29),1))</f>
        <v>17.399999999999999</v>
      </c>
      <c r="C31" s="21">
        <f>IF(ISERROR(AVERAGE(C19:C29)),"",AVERAGE(C19:C29))</f>
        <v>174</v>
      </c>
      <c r="D31" s="22">
        <f>tx_horaire*C31</f>
        <v>299.27999999999997</v>
      </c>
    </row>
    <row r="33" spans="1:4">
      <c r="A33" s="27" t="s">
        <v>16</v>
      </c>
      <c r="B33" s="22">
        <f>HLOOKUP(VLOOKUP(B10,type_acceuil,2,FALSE),contrib_valeur,COUNTIF(contrib_vol, "&lt;"&amp;revenus_net)+1,FALSE)</f>
        <v>600</v>
      </c>
      <c r="C33" s="28"/>
      <c r="D33" s="28" t="s">
        <v>17</v>
      </c>
    </row>
    <row r="34" spans="1:4">
      <c r="A34" s="27" t="s">
        <v>18</v>
      </c>
      <c r="B34" s="36">
        <f>34%*B33</f>
        <v>204.00000000000003</v>
      </c>
    </row>
    <row r="35" spans="1:4" ht="56.5" customHeight="1">
      <c r="A35" s="45" t="s">
        <v>114</v>
      </c>
      <c r="B35" s="45"/>
      <c r="C35" s="45"/>
      <c r="D35" s="45"/>
    </row>
  </sheetData>
  <mergeCells count="1">
    <mergeCell ref="A35:D35"/>
  </mergeCells>
  <conditionalFormatting sqref="B18:D29">
    <cfRule type="cellIs" dxfId="0" priority="7" operator="equal">
      <formula>0</formula>
    </cfRule>
  </conditionalFormatting>
  <dataValidations count="1">
    <dataValidation type="list" allowBlank="1" showInputMessage="1" showErrorMessage="1" sqref="B7" xr:uid="{00000000-0002-0000-0000-000000000000}">
      <formula1>"Oui,Non"</formula1>
    </dataValidation>
  </dataValidations>
  <pageMargins left="0.7" right="0.7" top="0.75" bottom="0.75" header="0.3" footer="0.3"/>
  <pageSetup orientation="portrait" verticalDpi="598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param!$A$18:$A$21</xm:f>
          </x14:formula1>
          <xm:sqref>B10</xm:sqref>
        </x14:dataValidation>
        <x14:dataValidation type="list" allowBlank="1" showInputMessage="1" showErrorMessage="1" xr:uid="{00000000-0002-0000-0000-000002000000}">
          <x14:formula1>
            <xm:f>param!$A$3:$A$6</xm:f>
          </x14:formula1>
          <xm:sqref>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>
      <selection sqref="A1:XFD1048576"/>
    </sheetView>
  </sheetViews>
  <sheetFormatPr defaultColWidth="10.90625" defaultRowHeight="14.5"/>
  <cols>
    <col min="1" max="1" width="90" customWidth="1"/>
  </cols>
  <sheetData>
    <row r="1" spans="1:5" ht="18.5">
      <c r="A1" s="37" t="s">
        <v>94</v>
      </c>
    </row>
    <row r="3" spans="1:5">
      <c r="A3" s="38" t="s">
        <v>95</v>
      </c>
    </row>
    <row r="5" spans="1:5">
      <c r="E5" t="s">
        <v>96</v>
      </c>
    </row>
    <row r="15" spans="1:5">
      <c r="A15" s="39"/>
    </row>
    <row r="31" spans="1:1">
      <c r="A31" s="39"/>
    </row>
    <row r="32" spans="1:1">
      <c r="A32" s="39"/>
    </row>
    <row r="51" spans="1:1">
      <c r="A51" s="39"/>
    </row>
    <row r="61" spans="1:1">
      <c r="A61" s="39"/>
    </row>
  </sheetData>
  <pageMargins left="0.7" right="0.7" top="0.75" bottom="0.75" header="0.3" footer="0.3"/>
  <pageSetup orientation="portrait" verticalDpi="598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10"/>
  <sheetViews>
    <sheetView topLeftCell="G1" workbookViewId="0">
      <selection sqref="A1:XFD1048576"/>
    </sheetView>
  </sheetViews>
  <sheetFormatPr defaultColWidth="10.90625" defaultRowHeight="14.5"/>
  <sheetData>
    <row r="2" spans="1:10" ht="15.5">
      <c r="A2" s="40" t="s">
        <v>97</v>
      </c>
    </row>
    <row r="4" spans="1:10" ht="15.5">
      <c r="J4" s="40" t="s">
        <v>98</v>
      </c>
    </row>
    <row r="10" spans="1:10">
      <c r="J10" s="6"/>
    </row>
  </sheetData>
  <pageMargins left="0.7" right="0.7" top="0.75" bottom="0.75" header="0.3" footer="0.3"/>
  <pageSetup orientation="portrait" verticalDpi="598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"/>
  <sheetViews>
    <sheetView workbookViewId="0">
      <selection activeCell="K26" sqref="K26"/>
    </sheetView>
  </sheetViews>
  <sheetFormatPr defaultColWidth="10.90625" defaultRowHeight="14.5"/>
  <cols>
    <col min="1" max="1" width="10.81640625" customWidth="1"/>
  </cols>
  <sheetData>
    <row r="1" spans="1:1" ht="15.5">
      <c r="A1" s="41"/>
    </row>
    <row r="2" spans="1:1" ht="15">
      <c r="A2" s="42"/>
    </row>
    <row r="3" spans="1:1" ht="15">
      <c r="A3" s="42"/>
    </row>
    <row r="4" spans="1:1" ht="15.5">
      <c r="A4" s="43"/>
    </row>
  </sheetData>
  <pageMargins left="0.7" right="0.7" top="0.75" bottom="0.75" header="0.3" footer="0.3"/>
  <pageSetup orientation="portrait" verticalDpi="598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8"/>
  <sheetViews>
    <sheetView zoomScale="70" zoomScaleNormal="70" workbookViewId="0">
      <selection activeCell="D49" sqref="D49"/>
    </sheetView>
  </sheetViews>
  <sheetFormatPr defaultColWidth="8.90625" defaultRowHeight="14.5"/>
  <cols>
    <col min="1" max="1" width="59.36328125" customWidth="1"/>
    <col min="2" max="2" width="16" customWidth="1"/>
    <col min="3" max="3" width="20.1796875" bestFit="1" customWidth="1"/>
    <col min="4" max="4" width="13.08984375" customWidth="1"/>
    <col min="5" max="5" width="16.81640625" customWidth="1"/>
  </cols>
  <sheetData>
    <row r="1" spans="1:4">
      <c r="A1" s="28" t="s">
        <v>84</v>
      </c>
    </row>
    <row r="2" spans="1:4">
      <c r="A2" t="s">
        <v>19</v>
      </c>
      <c r="B2" t="s">
        <v>111</v>
      </c>
    </row>
    <row r="3" spans="1:4">
      <c r="A3">
        <v>1</v>
      </c>
      <c r="B3" s="29">
        <v>6.1899999999999998E-4</v>
      </c>
    </row>
    <row r="4" spans="1:4">
      <c r="A4">
        <v>2</v>
      </c>
      <c r="B4" s="29">
        <v>5.1599999999999997E-4</v>
      </c>
    </row>
    <row r="5" spans="1:4">
      <c r="A5">
        <v>3</v>
      </c>
      <c r="B5" s="29">
        <v>4.1300000000000001E-4</v>
      </c>
    </row>
    <row r="6" spans="1:4">
      <c r="A6" t="s">
        <v>20</v>
      </c>
      <c r="B6" s="29">
        <v>3.1E-4</v>
      </c>
    </row>
    <row r="8" spans="1:4">
      <c r="A8" t="s">
        <v>112</v>
      </c>
      <c r="B8" s="30">
        <v>6000</v>
      </c>
    </row>
    <row r="9" spans="1:4">
      <c r="A9" t="s">
        <v>113</v>
      </c>
      <c r="B9" s="31">
        <v>712.33</v>
      </c>
    </row>
    <row r="10" spans="1:4">
      <c r="B10" s="31"/>
    </row>
    <row r="11" spans="1:4">
      <c r="A11" s="28" t="s">
        <v>85</v>
      </c>
      <c r="B11" s="31" t="s">
        <v>86</v>
      </c>
      <c r="C11" t="s">
        <v>87</v>
      </c>
      <c r="D11" t="s">
        <v>100</v>
      </c>
    </row>
    <row r="12" spans="1:4">
      <c r="A12" s="35" t="s">
        <v>88</v>
      </c>
      <c r="B12">
        <v>0</v>
      </c>
      <c r="C12">
        <v>2.2000000000000002</v>
      </c>
      <c r="D12">
        <f>C12</f>
        <v>2.2000000000000002</v>
      </c>
    </row>
    <row r="13" spans="1:4">
      <c r="A13" s="35" t="s">
        <v>89</v>
      </c>
      <c r="B13" s="31">
        <v>20000</v>
      </c>
      <c r="C13">
        <v>3.33</v>
      </c>
      <c r="D13">
        <f>C13-C12</f>
        <v>1.1299999999999999</v>
      </c>
    </row>
    <row r="14" spans="1:4">
      <c r="A14" s="35" t="s">
        <v>90</v>
      </c>
      <c r="B14" s="31">
        <v>25000</v>
      </c>
      <c r="C14">
        <v>4</v>
      </c>
      <c r="D14">
        <f>C14-C13</f>
        <v>0.66999999999999993</v>
      </c>
    </row>
    <row r="15" spans="1:4">
      <c r="A15" s="28"/>
      <c r="B15" s="31"/>
    </row>
    <row r="17" spans="1:5">
      <c r="A17" s="28" t="s">
        <v>21</v>
      </c>
      <c r="B17" s="28" t="s">
        <v>30</v>
      </c>
    </row>
    <row r="18" spans="1:5">
      <c r="A18" t="s">
        <v>22</v>
      </c>
      <c r="B18" t="s">
        <v>31</v>
      </c>
    </row>
    <row r="19" spans="1:5">
      <c r="A19" t="s">
        <v>23</v>
      </c>
      <c r="B19" t="s">
        <v>32</v>
      </c>
    </row>
    <row r="20" spans="1:5">
      <c r="A20" t="s">
        <v>24</v>
      </c>
      <c r="B20" t="s">
        <v>33</v>
      </c>
    </row>
    <row r="21" spans="1:5">
      <c r="A21" t="s">
        <v>25</v>
      </c>
      <c r="B21" t="s">
        <v>91</v>
      </c>
    </row>
    <row r="23" spans="1:5">
      <c r="A23" s="28" t="s">
        <v>26</v>
      </c>
      <c r="B23" t="s">
        <v>27</v>
      </c>
      <c r="C23" t="s">
        <v>28</v>
      </c>
      <c r="D23" t="s">
        <v>92</v>
      </c>
      <c r="E23" t="s">
        <v>29</v>
      </c>
    </row>
    <row r="24" spans="1:5">
      <c r="B24" t="s">
        <v>33</v>
      </c>
      <c r="C24" t="s">
        <v>31</v>
      </c>
      <c r="D24" t="s">
        <v>91</v>
      </c>
      <c r="E24" t="s">
        <v>32</v>
      </c>
    </row>
    <row r="25" spans="1:5">
      <c r="A25" s="32">
        <v>44440</v>
      </c>
      <c r="B25">
        <v>21</v>
      </c>
      <c r="C25">
        <v>4</v>
      </c>
      <c r="D25">
        <v>0</v>
      </c>
      <c r="E25">
        <f t="shared" ref="E25:E35" si="0">B25-C25</f>
        <v>17</v>
      </c>
    </row>
    <row r="26" spans="1:5">
      <c r="A26" s="32">
        <v>44470</v>
      </c>
      <c r="B26">
        <v>16</v>
      </c>
      <c r="C26">
        <v>3</v>
      </c>
      <c r="D26">
        <v>0</v>
      </c>
      <c r="E26">
        <f t="shared" si="0"/>
        <v>13</v>
      </c>
    </row>
    <row r="27" spans="1:5">
      <c r="A27" s="32">
        <v>44501</v>
      </c>
      <c r="B27">
        <v>16</v>
      </c>
      <c r="C27">
        <v>3</v>
      </c>
      <c r="D27">
        <v>0</v>
      </c>
      <c r="E27">
        <f t="shared" si="0"/>
        <v>13</v>
      </c>
    </row>
    <row r="28" spans="1:5">
      <c r="A28" s="32">
        <v>44531</v>
      </c>
      <c r="B28">
        <v>13</v>
      </c>
      <c r="C28">
        <v>3</v>
      </c>
      <c r="D28">
        <v>0</v>
      </c>
      <c r="E28">
        <f t="shared" si="0"/>
        <v>10</v>
      </c>
    </row>
    <row r="29" spans="1:5">
      <c r="A29" s="32">
        <v>44562</v>
      </c>
      <c r="B29">
        <v>21</v>
      </c>
      <c r="C29">
        <v>4</v>
      </c>
      <c r="D29">
        <v>0</v>
      </c>
      <c r="E29">
        <f t="shared" si="0"/>
        <v>17</v>
      </c>
    </row>
    <row r="30" spans="1:5">
      <c r="A30" s="32">
        <v>44593</v>
      </c>
      <c r="B30">
        <v>11</v>
      </c>
      <c r="C30">
        <v>2</v>
      </c>
      <c r="D30">
        <v>0</v>
      </c>
      <c r="E30">
        <f t="shared" si="0"/>
        <v>9</v>
      </c>
    </row>
    <row r="31" spans="1:5">
      <c r="A31" s="32">
        <v>44621</v>
      </c>
      <c r="B31">
        <v>23</v>
      </c>
      <c r="C31">
        <v>5</v>
      </c>
      <c r="D31">
        <v>0</v>
      </c>
      <c r="E31">
        <f t="shared" si="0"/>
        <v>18</v>
      </c>
    </row>
    <row r="32" spans="1:5">
      <c r="A32" s="32">
        <v>44652</v>
      </c>
      <c r="B32">
        <v>12</v>
      </c>
      <c r="C32">
        <v>2</v>
      </c>
      <c r="D32">
        <v>0</v>
      </c>
      <c r="E32">
        <f t="shared" si="0"/>
        <v>10</v>
      </c>
    </row>
    <row r="33" spans="1:6">
      <c r="A33" s="32">
        <v>44682</v>
      </c>
      <c r="B33">
        <v>20</v>
      </c>
      <c r="C33">
        <v>4</v>
      </c>
      <c r="D33">
        <v>0</v>
      </c>
      <c r="E33">
        <f t="shared" si="0"/>
        <v>16</v>
      </c>
    </row>
    <row r="34" spans="1:6">
      <c r="A34" s="32">
        <v>44713</v>
      </c>
      <c r="B34">
        <v>21</v>
      </c>
      <c r="C34">
        <v>4</v>
      </c>
      <c r="D34">
        <v>0</v>
      </c>
      <c r="E34">
        <f t="shared" si="0"/>
        <v>17</v>
      </c>
    </row>
    <row r="35" spans="1:6">
      <c r="A35" s="32">
        <v>44743</v>
      </c>
      <c r="B35">
        <v>5</v>
      </c>
      <c r="C35">
        <v>1</v>
      </c>
      <c r="D35">
        <v>0</v>
      </c>
      <c r="E35">
        <f t="shared" si="0"/>
        <v>4</v>
      </c>
    </row>
    <row r="36" spans="1:6">
      <c r="A36" s="32" t="s">
        <v>93</v>
      </c>
      <c r="D36">
        <v>5</v>
      </c>
    </row>
    <row r="37" spans="1:6">
      <c r="A37" s="32"/>
    </row>
    <row r="38" spans="1:6">
      <c r="A38" s="28" t="s">
        <v>99</v>
      </c>
      <c r="B38" s="31" t="s">
        <v>86</v>
      </c>
      <c r="C38" t="s">
        <v>101</v>
      </c>
    </row>
    <row r="39" spans="1:6">
      <c r="A39" s="35" t="s">
        <v>88</v>
      </c>
      <c r="B39">
        <v>0</v>
      </c>
      <c r="C39">
        <v>1</v>
      </c>
    </row>
    <row r="40" spans="1:6">
      <c r="A40" s="35" t="s">
        <v>89</v>
      </c>
      <c r="B40" s="31">
        <v>20000</v>
      </c>
      <c r="C40">
        <v>2</v>
      </c>
    </row>
    <row r="41" spans="1:6">
      <c r="A41" s="35" t="s">
        <v>90</v>
      </c>
      <c r="B41" s="31">
        <v>25000</v>
      </c>
      <c r="C41">
        <v>3</v>
      </c>
    </row>
    <row r="44" spans="1:6">
      <c r="A44" s="28" t="s">
        <v>109</v>
      </c>
      <c r="C44" t="s">
        <v>106</v>
      </c>
      <c r="D44" t="s">
        <v>107</v>
      </c>
      <c r="E44" t="s">
        <v>108</v>
      </c>
      <c r="F44" t="s">
        <v>108</v>
      </c>
    </row>
    <row r="45" spans="1:6">
      <c r="A45" s="44" t="s">
        <v>102</v>
      </c>
      <c r="B45" t="s">
        <v>101</v>
      </c>
      <c r="C45" t="s">
        <v>32</v>
      </c>
      <c r="D45" t="s">
        <v>33</v>
      </c>
      <c r="E45" t="s">
        <v>91</v>
      </c>
      <c r="F45" t="s">
        <v>31</v>
      </c>
    </row>
    <row r="46" spans="1:6">
      <c r="A46" s="44" t="s">
        <v>103</v>
      </c>
      <c r="B46">
        <v>1</v>
      </c>
      <c r="C46">
        <v>400</v>
      </c>
      <c r="D46">
        <v>400</v>
      </c>
      <c r="E46">
        <v>40</v>
      </c>
      <c r="F46">
        <v>40</v>
      </c>
    </row>
    <row r="47" spans="1:6">
      <c r="A47" s="44" t="s">
        <v>104</v>
      </c>
      <c r="B47">
        <v>2</v>
      </c>
      <c r="C47">
        <v>500</v>
      </c>
      <c r="D47">
        <v>500</v>
      </c>
      <c r="E47">
        <v>50</v>
      </c>
      <c r="F47">
        <v>50</v>
      </c>
    </row>
    <row r="48" spans="1:6">
      <c r="A48" s="44" t="s">
        <v>105</v>
      </c>
      <c r="B48">
        <v>3</v>
      </c>
      <c r="C48">
        <v>600</v>
      </c>
      <c r="D48">
        <v>600</v>
      </c>
      <c r="E48">
        <v>60</v>
      </c>
      <c r="F48">
        <v>60</v>
      </c>
    </row>
  </sheetData>
  <pageMargins left="0.7" right="0.7" top="0.75" bottom="0.75" header="0.3" footer="0.3"/>
  <pageSetup orientation="portrait" verticalDpi="598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G81"/>
  <sheetViews>
    <sheetView topLeftCell="A52" workbookViewId="0">
      <selection activeCell="A58" sqref="A58:D63"/>
    </sheetView>
  </sheetViews>
  <sheetFormatPr defaultColWidth="8.90625" defaultRowHeight="14.5"/>
  <cols>
    <col min="1" max="1" width="63.08984375" bestFit="1" customWidth="1"/>
    <col min="2" max="2" width="25" bestFit="1" customWidth="1"/>
    <col min="3" max="3" width="33.6328125" bestFit="1" customWidth="1"/>
    <col min="4" max="4" width="24.81640625" customWidth="1"/>
    <col min="5" max="5" width="25.36328125" bestFit="1" customWidth="1"/>
    <col min="6" max="7" width="1.81640625" bestFit="1" customWidth="1"/>
  </cols>
  <sheetData>
    <row r="2" spans="1:7">
      <c r="A2">
        <v>0</v>
      </c>
      <c r="B2" t="s">
        <v>34</v>
      </c>
      <c r="C2">
        <v>0</v>
      </c>
      <c r="D2">
        <v>0</v>
      </c>
      <c r="E2">
        <v>0</v>
      </c>
      <c r="F2">
        <v>0</v>
      </c>
      <c r="G2">
        <v>0</v>
      </c>
    </row>
    <row r="3" spans="1:7">
      <c r="A3">
        <v>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</row>
    <row r="4" spans="1:7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</row>
    <row r="5" spans="1:7">
      <c r="A5">
        <v>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>
      <c r="A6" t="s">
        <v>35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  <row r="7" spans="1:7">
      <c r="A7" t="s">
        <v>36</v>
      </c>
      <c r="B7" t="s">
        <v>37</v>
      </c>
      <c r="C7">
        <v>0</v>
      </c>
      <c r="D7">
        <v>0</v>
      </c>
      <c r="E7">
        <v>0</v>
      </c>
      <c r="F7">
        <v>0</v>
      </c>
      <c r="G7">
        <v>0</v>
      </c>
    </row>
    <row r="8" spans="1:7">
      <c r="A8" t="s">
        <v>38</v>
      </c>
      <c r="B8" t="s">
        <v>39</v>
      </c>
      <c r="C8">
        <v>0</v>
      </c>
      <c r="D8">
        <v>0</v>
      </c>
      <c r="E8">
        <v>0</v>
      </c>
      <c r="F8">
        <v>0</v>
      </c>
      <c r="G8">
        <v>0</v>
      </c>
    </row>
    <row r="9" spans="1:7">
      <c r="A9" t="s">
        <v>40</v>
      </c>
      <c r="B9">
        <v>5</v>
      </c>
      <c r="C9">
        <v>0</v>
      </c>
      <c r="D9">
        <v>0</v>
      </c>
      <c r="E9">
        <v>0</v>
      </c>
      <c r="F9">
        <v>0</v>
      </c>
      <c r="G9">
        <v>0</v>
      </c>
    </row>
    <row r="10" spans="1:7">
      <c r="A10" t="s">
        <v>36</v>
      </c>
      <c r="B10" t="s">
        <v>37</v>
      </c>
      <c r="C10">
        <v>0</v>
      </c>
      <c r="D10">
        <v>0</v>
      </c>
      <c r="E10">
        <v>0</v>
      </c>
      <c r="F10">
        <v>0</v>
      </c>
      <c r="G10">
        <v>0</v>
      </c>
    </row>
    <row r="11" spans="1:7">
      <c r="A11">
        <v>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</row>
    <row r="12" spans="1:7">
      <c r="A12" t="s">
        <v>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</row>
    <row r="13" spans="1:7">
      <c r="A13" t="s">
        <v>42</v>
      </c>
      <c r="B13">
        <v>1</v>
      </c>
      <c r="C13">
        <v>2</v>
      </c>
      <c r="D13">
        <v>3</v>
      </c>
      <c r="E13" t="s">
        <v>20</v>
      </c>
      <c r="F13">
        <v>0</v>
      </c>
      <c r="G13">
        <v>0</v>
      </c>
    </row>
    <row r="14" spans="1:7">
      <c r="A14" t="s">
        <v>43</v>
      </c>
      <c r="B14">
        <v>5.9999999999999995E-4</v>
      </c>
      <c r="C14">
        <v>5.0000000000000001E-4</v>
      </c>
      <c r="D14">
        <v>4.0000000000000002E-4</v>
      </c>
      <c r="E14">
        <v>2.9999999999999997E-4</v>
      </c>
      <c r="F14">
        <v>0</v>
      </c>
      <c r="G14">
        <v>0</v>
      </c>
    </row>
    <row r="15" spans="1:7">
      <c r="A15">
        <v>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>
      <c r="A16" t="s">
        <v>44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>
      <c r="A17" t="s">
        <v>45</v>
      </c>
      <c r="B17" t="s">
        <v>46</v>
      </c>
      <c r="C17" t="s">
        <v>47</v>
      </c>
      <c r="D17" t="s">
        <v>39</v>
      </c>
      <c r="E17">
        <v>0</v>
      </c>
      <c r="F17">
        <v>0</v>
      </c>
      <c r="G17">
        <v>0</v>
      </c>
    </row>
    <row r="18" spans="1:7">
      <c r="A18" t="s">
        <v>48</v>
      </c>
      <c r="B18">
        <v>1.96</v>
      </c>
      <c r="C18">
        <v>2.96</v>
      </c>
      <c r="D18">
        <v>3.56</v>
      </c>
      <c r="E18">
        <v>0</v>
      </c>
      <c r="F18">
        <v>0</v>
      </c>
      <c r="G18">
        <v>0</v>
      </c>
    </row>
    <row r="19" spans="1:7">
      <c r="A19">
        <v>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>
      <c r="A20" t="s">
        <v>49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</row>
    <row r="21" spans="1:7">
      <c r="A21" t="s">
        <v>50</v>
      </c>
      <c r="B21">
        <v>8247.6</v>
      </c>
      <c r="C21">
        <v>0</v>
      </c>
      <c r="D21">
        <v>0</v>
      </c>
      <c r="E21">
        <v>0</v>
      </c>
      <c r="F21">
        <v>0</v>
      </c>
      <c r="G21">
        <v>0</v>
      </c>
    </row>
    <row r="22" spans="1:7">
      <c r="A22" t="s">
        <v>51</v>
      </c>
      <c r="B22">
        <v>58495.44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>
      <c r="A24">
        <v>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>
      <c r="A25" t="s">
        <v>52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>
      <c r="A26" t="s">
        <v>4</v>
      </c>
      <c r="B26" t="s">
        <v>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>
      <c r="A27">
        <v>0</v>
      </c>
      <c r="B27" t="s">
        <v>53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>
      <c r="A28">
        <v>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>
      <c r="A29" t="s">
        <v>54</v>
      </c>
      <c r="B29" t="s">
        <v>55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>
      <c r="A30" t="s">
        <v>56</v>
      </c>
      <c r="B30">
        <v>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>
      <c r="A31" t="s">
        <v>57</v>
      </c>
      <c r="B31">
        <v>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>
      <c r="A32">
        <v>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>
      <c r="A33" t="s">
        <v>58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>
      <c r="A34" t="s">
        <v>59</v>
      </c>
      <c r="B34" t="s">
        <v>60</v>
      </c>
      <c r="C34" t="s">
        <v>59</v>
      </c>
      <c r="D34" t="s">
        <v>54</v>
      </c>
      <c r="E34">
        <v>0</v>
      </c>
      <c r="F34">
        <v>0</v>
      </c>
      <c r="G34">
        <v>0</v>
      </c>
    </row>
    <row r="35" spans="1:7">
      <c r="A35" t="s">
        <v>61</v>
      </c>
      <c r="B35">
        <v>5</v>
      </c>
      <c r="C35" t="s">
        <v>62</v>
      </c>
      <c r="D35" t="s">
        <v>63</v>
      </c>
      <c r="E35">
        <v>0</v>
      </c>
      <c r="F35">
        <v>0</v>
      </c>
      <c r="G35">
        <v>0</v>
      </c>
    </row>
    <row r="36" spans="1:7">
      <c r="A36" t="s">
        <v>9</v>
      </c>
      <c r="B36">
        <v>10</v>
      </c>
      <c r="C36" t="s">
        <v>62</v>
      </c>
      <c r="D36" t="s">
        <v>63</v>
      </c>
      <c r="E36">
        <v>0</v>
      </c>
      <c r="F36">
        <v>0</v>
      </c>
      <c r="G36">
        <v>0</v>
      </c>
    </row>
    <row r="37" spans="1:7">
      <c r="A37" t="s">
        <v>64</v>
      </c>
      <c r="B37">
        <v>10</v>
      </c>
      <c r="C37" t="s">
        <v>62</v>
      </c>
      <c r="D37" t="s">
        <v>63</v>
      </c>
      <c r="E37">
        <v>0</v>
      </c>
      <c r="F37">
        <v>0</v>
      </c>
      <c r="G37">
        <v>0</v>
      </c>
    </row>
    <row r="38" spans="1:7">
      <c r="A38" t="s">
        <v>65</v>
      </c>
      <c r="B38">
        <v>10</v>
      </c>
      <c r="C38" t="s">
        <v>66</v>
      </c>
      <c r="D38">
        <v>4</v>
      </c>
      <c r="E38">
        <v>0</v>
      </c>
      <c r="F38">
        <v>0</v>
      </c>
      <c r="G38">
        <v>0</v>
      </c>
    </row>
    <row r="39" spans="1:7">
      <c r="A39" t="s">
        <v>67</v>
      </c>
      <c r="B39">
        <v>10</v>
      </c>
      <c r="C39" t="s">
        <v>66</v>
      </c>
      <c r="D39">
        <v>5</v>
      </c>
      <c r="E39">
        <v>0</v>
      </c>
      <c r="F39">
        <v>0</v>
      </c>
      <c r="G39">
        <v>0</v>
      </c>
    </row>
    <row r="40" spans="1:7">
      <c r="A40">
        <v>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>
      <c r="A41" t="s">
        <v>68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>
      <c r="A42" t="s">
        <v>69</v>
      </c>
      <c r="B42" t="s">
        <v>70</v>
      </c>
      <c r="C42" t="s">
        <v>61</v>
      </c>
      <c r="D42" t="s">
        <v>9</v>
      </c>
      <c r="E42" t="s">
        <v>64</v>
      </c>
      <c r="F42">
        <v>0</v>
      </c>
      <c r="G42">
        <v>0</v>
      </c>
    </row>
    <row r="43" spans="1:7">
      <c r="A43">
        <v>1</v>
      </c>
      <c r="B43" t="s">
        <v>71</v>
      </c>
      <c r="C43">
        <v>4</v>
      </c>
      <c r="D43">
        <v>18</v>
      </c>
      <c r="E43">
        <v>20</v>
      </c>
      <c r="F43">
        <v>0</v>
      </c>
      <c r="G43">
        <v>0</v>
      </c>
    </row>
    <row r="44" spans="1:7">
      <c r="A44">
        <v>2</v>
      </c>
      <c r="B44" t="s">
        <v>72</v>
      </c>
      <c r="C44">
        <v>3</v>
      </c>
      <c r="D44">
        <v>13.5</v>
      </c>
      <c r="E44">
        <v>15</v>
      </c>
      <c r="F44">
        <v>0</v>
      </c>
      <c r="G44">
        <v>0</v>
      </c>
    </row>
    <row r="45" spans="1:7">
      <c r="A45">
        <v>3</v>
      </c>
      <c r="B45" t="s">
        <v>73</v>
      </c>
      <c r="C45">
        <v>4</v>
      </c>
      <c r="D45">
        <v>18</v>
      </c>
      <c r="E45">
        <v>20</v>
      </c>
      <c r="F45">
        <v>0</v>
      </c>
      <c r="G45">
        <v>0</v>
      </c>
    </row>
    <row r="46" spans="1:7">
      <c r="A46">
        <v>4</v>
      </c>
      <c r="B46" t="s">
        <v>74</v>
      </c>
      <c r="C46">
        <v>3</v>
      </c>
      <c r="D46">
        <v>13.5</v>
      </c>
      <c r="E46">
        <v>15</v>
      </c>
      <c r="F46">
        <v>0</v>
      </c>
      <c r="G46">
        <v>0</v>
      </c>
    </row>
    <row r="47" spans="1:7">
      <c r="A47">
        <v>5</v>
      </c>
      <c r="B47" t="s">
        <v>75</v>
      </c>
      <c r="C47">
        <v>4</v>
      </c>
      <c r="D47">
        <v>17</v>
      </c>
      <c r="E47">
        <v>19</v>
      </c>
      <c r="F47">
        <v>0</v>
      </c>
      <c r="G47">
        <v>0</v>
      </c>
    </row>
    <row r="48" spans="1:7">
      <c r="A48">
        <v>6</v>
      </c>
      <c r="B48" t="s">
        <v>76</v>
      </c>
      <c r="C48">
        <v>2</v>
      </c>
      <c r="D48">
        <v>9</v>
      </c>
      <c r="E48">
        <v>10</v>
      </c>
      <c r="F48">
        <v>0</v>
      </c>
      <c r="G48">
        <v>0</v>
      </c>
    </row>
    <row r="49" spans="1:7">
      <c r="A49">
        <v>7</v>
      </c>
      <c r="B49" t="s">
        <v>77</v>
      </c>
      <c r="C49">
        <v>4</v>
      </c>
      <c r="D49">
        <v>19</v>
      </c>
      <c r="E49">
        <v>21</v>
      </c>
      <c r="F49">
        <v>0</v>
      </c>
      <c r="G49">
        <v>0</v>
      </c>
    </row>
    <row r="50" spans="1:7">
      <c r="A50">
        <v>8</v>
      </c>
      <c r="B50" t="s">
        <v>78</v>
      </c>
      <c r="C50">
        <v>2</v>
      </c>
      <c r="D50">
        <v>10</v>
      </c>
      <c r="E50">
        <v>11</v>
      </c>
      <c r="F50">
        <v>0</v>
      </c>
      <c r="G50">
        <v>0</v>
      </c>
    </row>
    <row r="51" spans="1:7">
      <c r="A51">
        <v>9</v>
      </c>
      <c r="B51" t="s">
        <v>79</v>
      </c>
      <c r="C51">
        <v>4</v>
      </c>
      <c r="D51">
        <v>19</v>
      </c>
      <c r="E51">
        <v>21</v>
      </c>
      <c r="F51">
        <v>0</v>
      </c>
      <c r="G51">
        <v>0</v>
      </c>
    </row>
    <row r="52" spans="1:7">
      <c r="A52">
        <v>10</v>
      </c>
      <c r="B52" t="s">
        <v>80</v>
      </c>
      <c r="C52">
        <v>4</v>
      </c>
      <c r="D52">
        <v>17</v>
      </c>
      <c r="E52">
        <v>19</v>
      </c>
      <c r="F52">
        <v>0</v>
      </c>
      <c r="G52">
        <v>0</v>
      </c>
    </row>
    <row r="53" spans="1:7">
      <c r="A53">
        <v>11</v>
      </c>
      <c r="B53" t="s">
        <v>81</v>
      </c>
      <c r="C53">
        <v>1</v>
      </c>
      <c r="D53">
        <v>4.5</v>
      </c>
      <c r="E53">
        <v>5</v>
      </c>
      <c r="F53">
        <v>0</v>
      </c>
      <c r="G53">
        <v>0</v>
      </c>
    </row>
    <row r="54" spans="1:7">
      <c r="A54">
        <v>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</row>
    <row r="55" spans="1:7">
      <c r="A55">
        <v>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>
      <c r="A56" t="s">
        <v>82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</row>
    <row r="57" spans="1:7">
      <c r="A57">
        <v>0</v>
      </c>
      <c r="B57" t="s">
        <v>83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>
      <c r="A58" t="s">
        <v>59</v>
      </c>
      <c r="B58" t="s">
        <v>46</v>
      </c>
      <c r="C58" t="s">
        <v>47</v>
      </c>
      <c r="D58" t="s">
        <v>39</v>
      </c>
      <c r="E58">
        <v>0</v>
      </c>
      <c r="F58">
        <v>0</v>
      </c>
      <c r="G58">
        <v>0</v>
      </c>
    </row>
    <row r="59" spans="1:7">
      <c r="A59" t="s">
        <v>61</v>
      </c>
      <c r="B59">
        <v>104</v>
      </c>
      <c r="C59">
        <v>110</v>
      </c>
      <c r="D59">
        <v>120</v>
      </c>
      <c r="E59">
        <v>0</v>
      </c>
      <c r="F59">
        <v>0</v>
      </c>
      <c r="G59">
        <v>0</v>
      </c>
    </row>
    <row r="60" spans="1:7">
      <c r="A60" t="s">
        <v>9</v>
      </c>
      <c r="B60">
        <v>1100</v>
      </c>
      <c r="C60">
        <v>1140</v>
      </c>
      <c r="D60">
        <v>1200</v>
      </c>
      <c r="E60">
        <v>0</v>
      </c>
      <c r="F60">
        <v>0</v>
      </c>
      <c r="G60">
        <v>0</v>
      </c>
    </row>
    <row r="61" spans="1:7">
      <c r="A61" t="s">
        <v>64</v>
      </c>
      <c r="B61">
        <v>1200</v>
      </c>
      <c r="C61">
        <v>1240</v>
      </c>
      <c r="D61">
        <v>1300</v>
      </c>
      <c r="E61">
        <v>0</v>
      </c>
      <c r="F61">
        <v>0</v>
      </c>
      <c r="G61">
        <v>0</v>
      </c>
    </row>
    <row r="62" spans="1:7">
      <c r="A62" t="s">
        <v>65</v>
      </c>
      <c r="B62">
        <v>110</v>
      </c>
      <c r="C62">
        <v>104</v>
      </c>
      <c r="D62">
        <v>120</v>
      </c>
      <c r="E62">
        <v>0</v>
      </c>
      <c r="F62">
        <v>0</v>
      </c>
      <c r="G62">
        <v>0</v>
      </c>
    </row>
    <row r="63" spans="1:7">
      <c r="A63" t="s">
        <v>67</v>
      </c>
      <c r="B63">
        <v>110</v>
      </c>
      <c r="C63">
        <v>104</v>
      </c>
      <c r="D63">
        <v>120</v>
      </c>
      <c r="E63">
        <v>0</v>
      </c>
      <c r="F63">
        <v>0</v>
      </c>
      <c r="G63">
        <v>0</v>
      </c>
    </row>
    <row r="64" spans="1:7">
      <c r="A64">
        <v>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</row>
    <row r="65" spans="1:7">
      <c r="A65" t="s">
        <v>18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</row>
    <row r="66" spans="1:7">
      <c r="A66">
        <v>0</v>
      </c>
      <c r="B66" t="s">
        <v>83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>
      <c r="A67" t="s">
        <v>59</v>
      </c>
      <c r="B67" t="s">
        <v>46</v>
      </c>
      <c r="C67" t="s">
        <v>47</v>
      </c>
      <c r="D67" t="s">
        <v>39</v>
      </c>
      <c r="E67">
        <v>0</v>
      </c>
      <c r="F67">
        <v>0</v>
      </c>
      <c r="G67">
        <v>0</v>
      </c>
    </row>
    <row r="68" spans="1:7">
      <c r="A68" t="s">
        <v>61</v>
      </c>
      <c r="B68">
        <v>38</v>
      </c>
      <c r="C68">
        <v>40</v>
      </c>
      <c r="D68">
        <v>42</v>
      </c>
      <c r="E68">
        <v>0</v>
      </c>
      <c r="F68">
        <v>0</v>
      </c>
      <c r="G68">
        <v>0</v>
      </c>
    </row>
    <row r="69" spans="1:7">
      <c r="A69" t="s">
        <v>9</v>
      </c>
      <c r="B69">
        <v>374</v>
      </c>
      <c r="C69">
        <v>388</v>
      </c>
      <c r="D69">
        <v>408</v>
      </c>
      <c r="E69">
        <v>0</v>
      </c>
      <c r="F69">
        <v>0</v>
      </c>
      <c r="G69">
        <v>0</v>
      </c>
    </row>
    <row r="70" spans="1:7">
      <c r="A70" t="s">
        <v>64</v>
      </c>
      <c r="B70">
        <v>408</v>
      </c>
      <c r="C70">
        <v>422</v>
      </c>
      <c r="D70">
        <v>442</v>
      </c>
      <c r="E70">
        <v>0</v>
      </c>
      <c r="F70">
        <v>0</v>
      </c>
      <c r="G70">
        <v>0</v>
      </c>
    </row>
    <row r="71" spans="1:7">
      <c r="A71" t="s">
        <v>65</v>
      </c>
      <c r="B71">
        <v>38</v>
      </c>
      <c r="C71">
        <v>40</v>
      </c>
      <c r="D71">
        <v>42</v>
      </c>
      <c r="E71">
        <v>0</v>
      </c>
      <c r="F71">
        <v>0</v>
      </c>
      <c r="G71">
        <v>0</v>
      </c>
    </row>
    <row r="72" spans="1:7">
      <c r="A72" t="s">
        <v>67</v>
      </c>
      <c r="B72">
        <v>38</v>
      </c>
      <c r="C72">
        <v>40</v>
      </c>
      <c r="D72">
        <v>42</v>
      </c>
      <c r="E72">
        <v>0</v>
      </c>
      <c r="F72">
        <v>0</v>
      </c>
      <c r="G72">
        <v>0</v>
      </c>
    </row>
    <row r="73" spans="1:7">
      <c r="A73">
        <v>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>
      <c r="A74">
        <v>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</row>
    <row r="75" spans="1:7">
      <c r="A75">
        <v>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</row>
    <row r="76" spans="1:7">
      <c r="A76">
        <v>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</row>
    <row r="77" spans="1:7">
      <c r="A77">
        <v>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</row>
    <row r="78" spans="1:7">
      <c r="A78">
        <v>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</row>
    <row r="79" spans="1:7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</row>
    <row r="80" spans="1:7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</row>
    <row r="81" spans="1:7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</row>
  </sheetData>
  <pageMargins left="0.7" right="0.7" top="0.75" bottom="0.75" header="0.3" footer="0.3"/>
  <pageSetup orientation="portrait" verticalDpi="5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Calcul</vt:lpstr>
      <vt:lpstr>Aide Allocataire CAF</vt:lpstr>
      <vt:lpstr>Aide Revenus</vt:lpstr>
      <vt:lpstr>Contribution volontaire</vt:lpstr>
      <vt:lpstr>param</vt:lpstr>
      <vt:lpstr>Sheet3</vt:lpstr>
      <vt:lpstr>caf</vt:lpstr>
      <vt:lpstr>contrib_valeur</vt:lpstr>
      <vt:lpstr>contrib_vol</vt:lpstr>
      <vt:lpstr>nb_enfants</vt:lpstr>
      <vt:lpstr>plafond_caf</vt:lpstr>
      <vt:lpstr>plancher_caf</vt:lpstr>
      <vt:lpstr>revenus_net</vt:lpstr>
      <vt:lpstr>tbl_annee</vt:lpstr>
      <vt:lpstr>tx_horaire</vt:lpstr>
      <vt:lpstr>tx_non_caf</vt:lpstr>
      <vt:lpstr>type_acceuil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Hoblingre, Guillaume</dc:creator>
  <cp:lastModifiedBy>Thierry Simon</cp:lastModifiedBy>
  <dcterms:created xsi:type="dcterms:W3CDTF">2020-01-09T08:34:03Z</dcterms:created>
  <dcterms:modified xsi:type="dcterms:W3CDTF">2022-02-10T14:26:24Z</dcterms:modified>
</cp:coreProperties>
</file>