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cer\Desktop\Buissonniere IT\"/>
    </mc:Choice>
  </mc:AlternateContent>
  <xr:revisionPtr revIDLastSave="0" documentId="13_ncr:1_{19FED5B1-B9CC-40EE-A3EF-7C510C9EF3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cul" sheetId="1" r:id="rId1"/>
    <sheet name="Aide Allocataire CAF" sheetId="4" r:id="rId2"/>
    <sheet name="Aide Revenus" sheetId="5" r:id="rId3"/>
    <sheet name="Contribution volontaire" sheetId="6" r:id="rId4"/>
    <sheet name="param" sheetId="2" state="hidden" r:id="rId5"/>
    <sheet name="Sheet3" sheetId="3" state="hidden" r:id="rId6"/>
  </sheets>
  <definedNames>
    <definedName name="caf">Calcul!$B$7</definedName>
    <definedName name="contrib_valeur">param!$B$45:$F$48</definedName>
    <definedName name="contrib_vol">param!$B$39:$B$41</definedName>
    <definedName name="nb_enfants">param!$A$2:$B$6</definedName>
    <definedName name="plafond_caf">param!$B$8</definedName>
    <definedName name="plancher_caf">param!$B$9</definedName>
    <definedName name="revenus_net">Calcul!$B$8</definedName>
    <definedName name="tbl_annee">param!$A$24:$F$36</definedName>
    <definedName name="tx_horaire">Calcul!$B$14</definedName>
    <definedName name="tx_non_caf">param!$B$12:$D$14</definedName>
    <definedName name="type_acceuil">param!$A$17:$B$21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1" l="1"/>
  <c r="A29" i="1" s="1"/>
  <c r="C29" i="1" l="1"/>
  <c r="B28" i="1"/>
  <c r="A28" i="1" s="1"/>
  <c r="B33" i="1" l="1"/>
  <c r="E35" i="2" l="1"/>
  <c r="B19" i="1"/>
  <c r="B27" i="1"/>
  <c r="A27" i="1" s="1"/>
  <c r="B26" i="1"/>
  <c r="A26" i="1" s="1"/>
  <c r="B25" i="1"/>
  <c r="A25" i="1" s="1"/>
  <c r="B24" i="1"/>
  <c r="A24" i="1" s="1"/>
  <c r="B23" i="1"/>
  <c r="A23" i="1" s="1"/>
  <c r="B22" i="1"/>
  <c r="A22" i="1" s="1"/>
  <c r="B21" i="1"/>
  <c r="A21" i="1" s="1"/>
  <c r="B20" i="1"/>
  <c r="A20" i="1" s="1"/>
  <c r="E25" i="2"/>
  <c r="B34" i="1"/>
  <c r="B18" i="1" l="1"/>
  <c r="A19" i="1"/>
  <c r="C18" i="1" l="1"/>
  <c r="A18" i="1"/>
  <c r="B14" i="1"/>
  <c r="D29" i="1" s="1"/>
  <c r="D13" i="2"/>
  <c r="D14" i="2"/>
  <c r="D12" i="2"/>
  <c r="E26" i="2"/>
  <c r="C20" i="1" s="1"/>
  <c r="E27" i="2"/>
  <c r="C21" i="1" s="1"/>
  <c r="E28" i="2"/>
  <c r="C22" i="1" s="1"/>
  <c r="E29" i="2"/>
  <c r="C23" i="1" s="1"/>
  <c r="E30" i="2"/>
  <c r="C24" i="1" s="1"/>
  <c r="E31" i="2"/>
  <c r="C25" i="1" s="1"/>
  <c r="E32" i="2"/>
  <c r="C26" i="1" s="1"/>
  <c r="E33" i="2"/>
  <c r="C27" i="1" s="1"/>
  <c r="E34" i="2"/>
  <c r="C28" i="1" s="1"/>
  <c r="C19" i="1"/>
  <c r="A9" i="1"/>
  <c r="D8" i="1"/>
  <c r="D18" i="1" l="1"/>
  <c r="D25" i="1"/>
  <c r="D21" i="1"/>
  <c r="D22" i="1"/>
  <c r="D19" i="1"/>
  <c r="D27" i="1"/>
  <c r="D26" i="1"/>
  <c r="D23" i="1"/>
  <c r="D20" i="1"/>
  <c r="D24" i="1"/>
  <c r="D28" i="1"/>
  <c r="B31" i="1"/>
  <c r="C31" i="1" l="1"/>
  <c r="D3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FLORENTZ David</author>
    <author>admin</author>
    <author>david</author>
  </authors>
  <commentList>
    <comment ref="A7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Choix possible: 
</t>
        </r>
        <r>
          <rPr>
            <sz val="8"/>
            <color indexed="81"/>
            <rFont val="Tahoma"/>
            <family val="2"/>
          </rPr>
          <t>Oui
Non</t>
        </r>
      </text>
    </comment>
    <comment ref="A8" authorId="1" shapeId="0" xr:uid="{00000000-0006-0000-0000-000002000000}">
      <text>
        <r>
          <rPr>
            <b/>
            <sz val="8"/>
            <color indexed="81"/>
            <rFont val="Tahoma"/>
            <family val="2"/>
          </rPr>
          <t>admin:</t>
        </r>
        <r>
          <rPr>
            <sz val="8"/>
            <color indexed="81"/>
            <rFont val="Tahoma"/>
            <family val="2"/>
          </rPr>
          <t xml:space="preserve">
Cf onglet Aide revenu pour calculer précisement vos revenus nets
</t>
        </r>
      </text>
    </comment>
    <comment ref="A9" authorId="2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Choix possible;
</t>
        </r>
        <r>
          <rPr>
            <sz val="9"/>
            <color indexed="81"/>
            <rFont val="Tahoma"/>
            <family val="2"/>
          </rPr>
          <t>1
2
3
4 et plus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0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 xml:space="preserve">Choix possible: 
</t>
        </r>
        <r>
          <rPr>
            <sz val="8"/>
            <color indexed="81"/>
            <rFont val="Tahoma"/>
            <family val="2"/>
          </rPr>
          <t>Permanent - uniquement les mercredis des périodes scolaires
Permanent - 4 jours/semaine (périodes scolaires)
Permanent - 5 jours/semaine (périodes scolaires)
Occasionnel - 5 jours/semaine (vacances scolaires)</t>
        </r>
      </text>
    </comment>
  </commentList>
</comments>
</file>

<file path=xl/sharedStrings.xml><?xml version="1.0" encoding="utf-8"?>
<sst xmlns="http://schemas.openxmlformats.org/spreadsheetml/2006/main" count="166" uniqueCount="115">
  <si>
    <t>Estimation des coûts de la Buissonnière de l'Aar par enfant</t>
  </si>
  <si>
    <t>Les tarifs sont fournis à titre indicatif et peuvent varier sensiblement</t>
  </si>
  <si>
    <t>L'adhésion est de 50 euros par famille (de septembre à août)</t>
  </si>
  <si>
    <t>(Complétez uniquement les zones en vert ou jaune)</t>
  </si>
  <si>
    <t>Etes-vous allocataire CAF relevant du régime général?</t>
  </si>
  <si>
    <t>Oui</t>
  </si>
  <si>
    <r>
      <t xml:space="preserve">Montant  total de vos revenus </t>
    </r>
    <r>
      <rPr>
        <b/>
        <u/>
        <sz val="12"/>
        <color theme="1"/>
        <rFont val="Calibri"/>
        <family val="2"/>
        <scheme val="minor"/>
      </rPr>
      <t>nets annuels</t>
    </r>
    <r>
      <rPr>
        <b/>
        <sz val="11"/>
        <color theme="1"/>
        <rFont val="Calibri"/>
        <family val="2"/>
        <scheme val="minor"/>
      </rPr>
      <t xml:space="preserve"> imposables?</t>
    </r>
  </si>
  <si>
    <t>Si vous êtes allocataire de l'AEEH ajoutez un enfant supplémentaire à charge</t>
  </si>
  <si>
    <t>Type d'accueil souhaité?</t>
  </si>
  <si>
    <t>Permanent - 4,5 jours/semaine</t>
  </si>
  <si>
    <t>Votre taux horaire</t>
  </si>
  <si>
    <t>Nombre de jours d'accueil</t>
  </si>
  <si>
    <t>Nombre d'heures d'accueuil</t>
  </si>
  <si>
    <t>Mensualité à payer (en €)</t>
  </si>
  <si>
    <t>Moyenne/mois</t>
  </si>
  <si>
    <t>Contribution Volontaire annuelle par enfant</t>
  </si>
  <si>
    <t>Voir onglet "Contribution volontaire"</t>
  </si>
  <si>
    <t>Dépense réelle annuelle après déduction fiscale</t>
  </si>
  <si>
    <t>Nombre d'enfants</t>
  </si>
  <si>
    <t>4 et plus</t>
  </si>
  <si>
    <t>Type d'accueil souhaité</t>
  </si>
  <si>
    <t>Accueil permanent les mercredis scolaires toute la journée</t>
  </si>
  <si>
    <t>Accueil permanent au jardin d'enfants 5 jours par semaine</t>
  </si>
  <si>
    <t>Accueil occasionnel à la semaine durant les vacances</t>
  </si>
  <si>
    <t>Nb jours scolaires</t>
  </si>
  <si>
    <t>Nb mercredi scolaires</t>
  </si>
  <si>
    <t>Nb jours scolaires hors mercredi</t>
  </si>
  <si>
    <t>Clef</t>
  </si>
  <si>
    <t>ACC1</t>
  </si>
  <si>
    <t>ACC2</t>
  </si>
  <si>
    <t>ACC3</t>
  </si>
  <si>
    <t>Paramétrage</t>
  </si>
  <si>
    <t>Calcul automatique depuis la feille de calcul</t>
  </si>
  <si>
    <t>(ignorer - non allocataire CAF)</t>
  </si>
  <si>
    <t/>
  </si>
  <si>
    <t>Catégorie de revenus</t>
  </si>
  <si>
    <t>supérieurs à 25 000 €</t>
  </si>
  <si>
    <t>Nombre d'heures par jour</t>
  </si>
  <si>
    <t>Allocataire CAF relevant du régime général</t>
  </si>
  <si>
    <t>Nombre d'enfants dans la famille</t>
  </si>
  <si>
    <t xml:space="preserve">Taux d'effort </t>
  </si>
  <si>
    <t>Non allocataires CAF relevant de régime spécifique</t>
  </si>
  <si>
    <t>revenus annuels imposables</t>
  </si>
  <si>
    <t>inférieurs à 20 000 €</t>
  </si>
  <si>
    <t>entre 20 000 € et 25 000 €</t>
  </si>
  <si>
    <t>Taux horaire</t>
  </si>
  <si>
    <t>Paramètres des seuils - ressources CAF</t>
  </si>
  <si>
    <t>Ressources min CAF</t>
  </si>
  <si>
    <t>Ressources max CAF</t>
  </si>
  <si>
    <t>Paramètres des zones à compléter</t>
  </si>
  <si>
    <t>Non</t>
  </si>
  <si>
    <t>Accueil occasionnel -nombre de jours par semaine à la Buissonnière?</t>
  </si>
  <si>
    <t>valeur</t>
  </si>
  <si>
    <t>4 jours</t>
  </si>
  <si>
    <t>5 jours</t>
  </si>
  <si>
    <t>Accueil permanent/occasionnel - répartition du nombre d'heures par jour</t>
  </si>
  <si>
    <t>Type d'accueil</t>
  </si>
  <si>
    <t>Nb d'heures par jour</t>
  </si>
  <si>
    <t>Permanent - uniquement Mercredi AM</t>
  </si>
  <si>
    <t>permanent</t>
  </si>
  <si>
    <t>-</t>
  </si>
  <si>
    <t>Permanent - 5 jours/semaine</t>
  </si>
  <si>
    <t>Occasionnel - 4 jours/semaine</t>
  </si>
  <si>
    <t>occasionnel</t>
  </si>
  <si>
    <t>Occasionnel - 5 jours/semaine</t>
  </si>
  <si>
    <t>Accueil permanent - répartition du nombre de jours par mois</t>
  </si>
  <si>
    <t>N mois</t>
  </si>
  <si>
    <t>Mois</t>
  </si>
  <si>
    <t>Septembre</t>
  </si>
  <si>
    <t>Octobre</t>
  </si>
  <si>
    <t>Novembre</t>
  </si>
  <si>
    <t>Decembre</t>
  </si>
  <si>
    <t>Janvier</t>
  </si>
  <si>
    <t>Février</t>
  </si>
  <si>
    <t>Mars</t>
  </si>
  <si>
    <t>Avril</t>
  </si>
  <si>
    <t>Mai</t>
  </si>
  <si>
    <t>Juin</t>
  </si>
  <si>
    <t>Juillet</t>
  </si>
  <si>
    <t>Contribution annuelle volontaire par enfant</t>
  </si>
  <si>
    <t>Revenus annuels imposables</t>
  </si>
  <si>
    <t>Allocataires CAF régime général</t>
  </si>
  <si>
    <t>Non allocataires CAF régime général</t>
  </si>
  <si>
    <t>Maximum Tranche</t>
  </si>
  <si>
    <t>Montant tranche</t>
  </si>
  <si>
    <t>Minimum tranche 1</t>
  </si>
  <si>
    <t>Minimum tranche 2</t>
  </si>
  <si>
    <t>Minimum tranche 3</t>
  </si>
  <si>
    <t>ACC4</t>
  </si>
  <si>
    <t>Occasionel</t>
  </si>
  <si>
    <t>Une semaine</t>
  </si>
  <si>
    <t>Comment calculer mes ressources - allocataire CAF</t>
  </si>
  <si>
    <t>Applicable uniquement pour les allocataires CAF</t>
  </si>
  <si>
    <t>Besoin d'aide par des exemples ? Voir onglet 'Aide-revenus'</t>
  </si>
  <si>
    <t>Exemple 1: sont pris en compte les revenus nets du salaire et assimilés +revenus d'une pension + fonciers nets</t>
  </si>
  <si>
    <t>Exemple 2 : sont pris en comptes les revenus du salaires nets ainsi que les  revenus fonciers et étrangers nets</t>
  </si>
  <si>
    <t>Contribution Volontaire</t>
  </si>
  <si>
    <t>Montant additionel tranche précédente</t>
  </si>
  <si>
    <t>Clé</t>
  </si>
  <si>
    <t>Revenus annuels nets imposables de la famille</t>
  </si>
  <si>
    <t>Inférieurs à 20 000 €</t>
  </si>
  <si>
    <t>Inférieurs à 25 000 €</t>
  </si>
  <si>
    <t>Supérieurs à 25 000 €</t>
  </si>
  <si>
    <t>Régulier 4j</t>
  </si>
  <si>
    <t>Régulier 5j</t>
  </si>
  <si>
    <t>Occasionnel</t>
  </si>
  <si>
    <t>Montant Contribution volontaire</t>
  </si>
  <si>
    <t>Barême CAF 2022</t>
  </si>
  <si>
    <t>2024/2025 - Nombre de jours scolaires</t>
  </si>
  <si>
    <t>L'accueil de votre enfant dans notre structure (JdE ou Accueil de Loisirs) ouvre le droit à un crédit ou à une réduction de 50% des frais annuels dans la limite du plafond autorisé (3500 euros par an)</t>
  </si>
  <si>
    <r>
      <rPr>
        <b/>
        <sz val="11"/>
        <color theme="1"/>
        <rFont val="Calibri"/>
        <family val="2"/>
        <scheme val="minor"/>
      </rPr>
      <t>Permanent</t>
    </r>
    <r>
      <rPr>
        <sz val="11"/>
        <color theme="1"/>
        <rFont val="Calibri"/>
        <family val="2"/>
        <scheme val="minor"/>
      </rPr>
      <t xml:space="preserve"> =  </t>
    </r>
    <r>
      <rPr>
        <sz val="11"/>
        <color rgb="FFFF0000"/>
        <rFont val="Calibri"/>
        <family val="2"/>
        <scheme val="minor"/>
      </rPr>
      <t xml:space="preserve">en période scolaire </t>
    </r>
    <r>
      <rPr>
        <sz val="11"/>
        <color theme="1"/>
        <rFont val="Calibri"/>
        <family val="2"/>
        <scheme val="minor"/>
      </rPr>
      <t>(un contrat est signé de septembre à juillet))</t>
    </r>
  </si>
  <si>
    <t>Accueil permanent au jardin d'enfants 4 jours par semaine (L, M, J ,V ) sans les mercredis</t>
  </si>
  <si>
    <t>Les revenus à prendre en compte sont ceux de l'année N-2 (donc 2023 pour 2025)</t>
  </si>
  <si>
    <t>Plancher Taux d'effort 2025</t>
  </si>
  <si>
    <t>Plafond Taux d'effort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</si>
</sst>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#,##0\ &quot;€&quot;;[Red]\-#,##0\ &quot;€&quot;"/>
    <numFmt numFmtId="8" formatCode="#,##0.00\ &quot;€&quot;;[Red]\-#,##0.00\ &quot;€&quot;"/>
    <numFmt numFmtId="164" formatCode="#,##0\ &quot;€&quot;"/>
    <numFmt numFmtId="165" formatCode="0.0"/>
    <numFmt numFmtId="166" formatCode="0.0000%"/>
    <numFmt numFmtId="167" formatCode="#,##0.000\ &quot;€&quot;"/>
  </numFmts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Liberation Serif"/>
      <family val="1"/>
    </font>
    <font>
      <b/>
      <sz val="12"/>
      <color theme="1"/>
      <name val="Liberation Serif"/>
      <family val="1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/>
    <xf numFmtId="0" fontId="2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0" borderId="0" xfId="0" applyFont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4" borderId="1" xfId="0" applyNumberFormat="1" applyFont="1" applyFill="1" applyBorder="1" applyAlignment="1">
      <alignment horizontal="left"/>
    </xf>
    <xf numFmtId="165" fontId="0" fillId="5" borderId="1" xfId="0" applyNumberForma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2" fillId="0" borderId="0" xfId="0" applyFont="1"/>
    <xf numFmtId="166" fontId="0" fillId="0" borderId="0" xfId="0" applyNumberFormat="1"/>
    <xf numFmtId="6" fontId="0" fillId="0" borderId="0" xfId="0" applyNumberFormat="1"/>
    <xf numFmtId="8" fontId="0" fillId="0" borderId="0" xfId="0" applyNumberFormat="1"/>
    <xf numFmtId="17" fontId="0" fillId="0" borderId="0" xfId="0" applyNumberFormat="1"/>
    <xf numFmtId="167" fontId="0" fillId="5" borderId="1" xfId="0" applyNumberFormat="1" applyFill="1" applyBorder="1" applyAlignment="1">
      <alignment horizontal="center"/>
    </xf>
    <xf numFmtId="17" fontId="2" fillId="4" borderId="1" xfId="0" applyNumberFormat="1" applyFont="1" applyFill="1" applyBorder="1"/>
    <xf numFmtId="0" fontId="2" fillId="5" borderId="1" xfId="0" applyFont="1" applyFill="1" applyBorder="1" applyAlignment="1">
      <alignment horizontal="center"/>
    </xf>
    <xf numFmtId="0" fontId="13" fillId="0" borderId="0" xfId="0" applyFont="1"/>
    <xf numFmtId="0" fontId="14" fillId="0" borderId="0" xfId="0" applyFont="1"/>
    <xf numFmtId="0" fontId="0" fillId="0" borderId="0" xfId="0" quotePrefix="1"/>
    <xf numFmtId="0" fontId="15" fillId="0" borderId="0" xfId="0" applyFont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470648</xdr:colOff>
      <xdr:row>7</xdr:row>
      <xdr:rowOff>67236</xdr:rowOff>
    </xdr:from>
    <xdr:to>
      <xdr:col>2</xdr:col>
      <xdr:colOff>1445559</xdr:colOff>
      <xdr:row>7</xdr:row>
      <xdr:rowOff>257735</xdr:rowOff>
    </xdr:to>
    <xdr:sp macro="" textlink="">
      <xdr:nvSpPr>
        <xdr:cNvPr id="2" name="Flèche droite 1">
          <a:extLst>
            <a:ext uri="{FF2B5EF4-FFF2-40B4-BE49-F238E27FC236}">
              <a16:creationId xmlns:a16="http://schemas.microsoft.com/office/drawing/2014/main" id="{77CB5C86-61DA-4F3B-A4F8-776E35DE4D6E}"/>
            </a:ext>
          </a:extLst>
        </xdr:cNvPr>
        <xdr:cNvSpPr/>
      </xdr:nvSpPr>
      <xdr:spPr>
        <a:xfrm>
          <a:off x="6255498" y="1749986"/>
          <a:ext cx="974911" cy="19049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481853</xdr:colOff>
      <xdr:row>8</xdr:row>
      <xdr:rowOff>67235</xdr:rowOff>
    </xdr:from>
    <xdr:to>
      <xdr:col>2</xdr:col>
      <xdr:colOff>1456764</xdr:colOff>
      <xdr:row>8</xdr:row>
      <xdr:rowOff>257734</xdr:rowOff>
    </xdr:to>
    <xdr:sp macro="" textlink="">
      <xdr:nvSpPr>
        <xdr:cNvPr id="3" name="Flèche droite 2">
          <a:extLst>
            <a:ext uri="{FF2B5EF4-FFF2-40B4-BE49-F238E27FC236}">
              <a16:creationId xmlns:a16="http://schemas.microsoft.com/office/drawing/2014/main" id="{B0667BBD-D207-4C8C-BD66-2A31120BC87D}"/>
            </a:ext>
          </a:extLst>
        </xdr:cNvPr>
        <xdr:cNvSpPr/>
      </xdr:nvSpPr>
      <xdr:spPr>
        <a:xfrm>
          <a:off x="6266703" y="2226235"/>
          <a:ext cx="974911" cy="19049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481853</xdr:colOff>
      <xdr:row>9</xdr:row>
      <xdr:rowOff>43329</xdr:rowOff>
    </xdr:from>
    <xdr:to>
      <xdr:col>3</xdr:col>
      <xdr:colOff>3884</xdr:colOff>
      <xdr:row>9</xdr:row>
      <xdr:rowOff>233828</xdr:rowOff>
    </xdr:to>
    <xdr:sp macro="" textlink="">
      <xdr:nvSpPr>
        <xdr:cNvPr id="4" name="Flèche droite 3">
          <a:extLst>
            <a:ext uri="{FF2B5EF4-FFF2-40B4-BE49-F238E27FC236}">
              <a16:creationId xmlns:a16="http://schemas.microsoft.com/office/drawing/2014/main" id="{C0C42833-B51B-40B7-B3B2-86DB3DF5CA4C}"/>
            </a:ext>
          </a:extLst>
        </xdr:cNvPr>
        <xdr:cNvSpPr/>
      </xdr:nvSpPr>
      <xdr:spPr>
        <a:xfrm>
          <a:off x="5976720" y="2176929"/>
          <a:ext cx="182431" cy="19049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493059</xdr:colOff>
      <xdr:row>32</xdr:row>
      <xdr:rowOff>11205</xdr:rowOff>
    </xdr:from>
    <xdr:to>
      <xdr:col>2</xdr:col>
      <xdr:colOff>1467970</xdr:colOff>
      <xdr:row>33</xdr:row>
      <xdr:rowOff>11204</xdr:rowOff>
    </xdr:to>
    <xdr:sp macro="" textlink="">
      <xdr:nvSpPr>
        <xdr:cNvPr id="5" name="Flèche droite 4">
          <a:extLst>
            <a:ext uri="{FF2B5EF4-FFF2-40B4-BE49-F238E27FC236}">
              <a16:creationId xmlns:a16="http://schemas.microsoft.com/office/drawing/2014/main" id="{EB06D8FA-BFA2-4BA9-A12C-424A5902C300}"/>
            </a:ext>
          </a:extLst>
        </xdr:cNvPr>
        <xdr:cNvSpPr/>
      </xdr:nvSpPr>
      <xdr:spPr>
        <a:xfrm>
          <a:off x="6277909" y="7288305"/>
          <a:ext cx="974911" cy="18414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5</xdr:col>
      <xdr:colOff>646736</xdr:colOff>
      <xdr:row>28</xdr:row>
      <xdr:rowOff>28000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8ED4E71-B9D4-414D-8FE7-C90FAB7C8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809625"/>
          <a:ext cx="9543086" cy="4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5</xdr:col>
      <xdr:colOff>618165</xdr:colOff>
      <xdr:row>59</xdr:row>
      <xdr:rowOff>27834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E761CF3-807E-43BD-A0AF-395CE3780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5207000"/>
          <a:ext cx="7971465" cy="57364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5</xdr:col>
      <xdr:colOff>256241</xdr:colOff>
      <xdr:row>73</xdr:row>
      <xdr:rowOff>104429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9A18A4C-634E-4B68-BDD5-321D96ABC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10915650"/>
          <a:ext cx="7761941" cy="2682529"/>
        </a:xfrm>
        <a:prstGeom prst="rect">
          <a:avLst/>
        </a:prstGeom>
      </xdr:spPr>
    </xdr:pic>
    <xdr:clientData/>
  </xdr:twoCellAnchor>
  <xdr:twoCellAnchor>
    <xdr:from>
      <xdr:col>0</xdr:col>
      <xdr:colOff>3324225</xdr:colOff>
      <xdr:row>4</xdr:row>
      <xdr:rowOff>142875</xdr:rowOff>
    </xdr:from>
    <xdr:to>
      <xdr:col>3</xdr:col>
      <xdr:colOff>628650</xdr:colOff>
      <xdr:row>4</xdr:row>
      <xdr:rowOff>171450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831E6234-BDAF-4E8C-BF60-56D14559FE49}"/>
            </a:ext>
          </a:extLst>
        </xdr:cNvPr>
        <xdr:cNvCxnSpPr/>
      </xdr:nvCxnSpPr>
      <xdr:spPr>
        <a:xfrm flipH="1">
          <a:off x="3324225" y="930275"/>
          <a:ext cx="5114925" cy="28575"/>
        </a:xfrm>
        <a:prstGeom prst="straightConnector1">
          <a:avLst/>
        </a:prstGeom>
        <a:ln w="381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</xdr:row>
      <xdr:rowOff>45507</xdr:rowOff>
    </xdr:from>
    <xdr:to>
      <xdr:col>10</xdr:col>
      <xdr:colOff>211667</xdr:colOff>
      <xdr:row>45</xdr:row>
      <xdr:rowOff>160598</xdr:rowOff>
    </xdr:to>
    <xdr:pic>
      <xdr:nvPicPr>
        <xdr:cNvPr id="2" name="Image 4">
          <a:extLst>
            <a:ext uri="{FF2B5EF4-FFF2-40B4-BE49-F238E27FC236}">
              <a16:creationId xmlns:a16="http://schemas.microsoft.com/office/drawing/2014/main" id="{66FBD8DB-7874-440B-A659-1C4A4DE1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426507"/>
          <a:ext cx="6279092" cy="80462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656166</xdr:colOff>
      <xdr:row>3</xdr:row>
      <xdr:rowOff>179917</xdr:rowOff>
    </xdr:from>
    <xdr:to>
      <xdr:col>19</xdr:col>
      <xdr:colOff>472620</xdr:colOff>
      <xdr:row>48</xdr:row>
      <xdr:rowOff>169333</xdr:rowOff>
    </xdr:to>
    <xdr:pic>
      <xdr:nvPicPr>
        <xdr:cNvPr id="3" name="Image 3">
          <a:extLst>
            <a:ext uri="{FF2B5EF4-FFF2-40B4-BE49-F238E27FC236}">
              <a16:creationId xmlns:a16="http://schemas.microsoft.com/office/drawing/2014/main" id="{36DF33C3-F6D2-4BBF-AEF6-7DB44643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" y="745067"/>
          <a:ext cx="6566504" cy="8288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38101</xdr:rowOff>
    </xdr:from>
    <xdr:to>
      <xdr:col>8</xdr:col>
      <xdr:colOff>184463</xdr:colOff>
      <xdr:row>13</xdr:row>
      <xdr:rowOff>127001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B93173-229B-4B89-84ED-7391D630B5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43045"/>
        <a:stretch/>
      </xdr:blipFill>
      <xdr:spPr>
        <a:xfrm>
          <a:off x="171450" y="38101"/>
          <a:ext cx="6102663" cy="252095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323851</xdr:colOff>
      <xdr:row>13</xdr:row>
      <xdr:rowOff>129140</xdr:rowOff>
    </xdr:from>
    <xdr:to>
      <xdr:col>8</xdr:col>
      <xdr:colOff>196851</xdr:colOff>
      <xdr:row>24</xdr:row>
      <xdr:rowOff>6464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D6B2F44-FAB5-4A49-A332-21F5E9150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1" y="2561190"/>
          <a:ext cx="5962650" cy="19029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329542</xdr:colOff>
      <xdr:row>11</xdr:row>
      <xdr:rowOff>63734</xdr:rowOff>
    </xdr:from>
    <xdr:to>
      <xdr:col>17</xdr:col>
      <xdr:colOff>36402</xdr:colOff>
      <xdr:row>37</xdr:row>
      <xdr:rowOff>54429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C4CFD00-73E9-4123-A015-FB09E805D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9342" y="2099363"/>
          <a:ext cx="5802860" cy="4802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topLeftCell="A4" zoomScale="90" zoomScaleNormal="90" workbookViewId="0">
      <selection activeCell="B8" sqref="B8"/>
    </sheetView>
  </sheetViews>
  <sheetFormatPr baseColWidth="10" defaultColWidth="8.85546875" defaultRowHeight="15" x14ac:dyDescent="0.25"/>
  <cols>
    <col min="1" max="1" width="51.28515625" customWidth="1"/>
    <col min="2" max="2" width="28.85546875" customWidth="1"/>
    <col min="3" max="3" width="9.7109375" customWidth="1"/>
    <col min="4" max="4" width="60.7109375" customWidth="1"/>
  </cols>
  <sheetData>
    <row r="1" spans="1:4" ht="28.5" x14ac:dyDescent="0.45">
      <c r="A1" s="1" t="s">
        <v>0</v>
      </c>
    </row>
    <row r="2" spans="1:4" ht="18.75" x14ac:dyDescent="0.3">
      <c r="A2" s="2" t="s">
        <v>1</v>
      </c>
    </row>
    <row r="3" spans="1:4" ht="18.75" x14ac:dyDescent="0.3">
      <c r="A3" s="3" t="s">
        <v>112</v>
      </c>
    </row>
    <row r="4" spans="1:4" ht="15.75" x14ac:dyDescent="0.25">
      <c r="A4" s="4" t="s">
        <v>2</v>
      </c>
    </row>
    <row r="5" spans="1:4" x14ac:dyDescent="0.25">
      <c r="A5" s="5"/>
      <c r="B5" s="6" t="s">
        <v>3</v>
      </c>
    </row>
    <row r="7" spans="1:4" x14ac:dyDescent="0.25">
      <c r="A7" s="7" t="s">
        <v>4</v>
      </c>
      <c r="B7" s="8" t="s">
        <v>5</v>
      </c>
    </row>
    <row r="8" spans="1:4" ht="15.75" x14ac:dyDescent="0.25">
      <c r="A8" s="9" t="s">
        <v>6</v>
      </c>
      <c r="B8" s="8">
        <v>1000</v>
      </c>
      <c r="D8" s="10" t="str">
        <f>IF(B7="Oui","Besoin d'aide? Voir onglet ''Aide-allocataire CAF ou Aide-revenus''",IF(B7="Non","Besoin d'aide? Voir onglet 'Aide-revenus",""))</f>
        <v>Besoin d'aide? Voir onglet ''Aide-allocataire CAF ou Aide-revenus''</v>
      </c>
    </row>
    <row r="9" spans="1:4" ht="30" x14ac:dyDescent="0.25">
      <c r="A9" s="7" t="str">
        <f>IF(B7="Oui","Nombre d'enfants dans la famille","(Ne pas compléter si non allocataire CAF)")</f>
        <v>Nombre d'enfants dans la famille</v>
      </c>
      <c r="B9" s="11">
        <v>1</v>
      </c>
      <c r="D9" s="12" t="s">
        <v>7</v>
      </c>
    </row>
    <row r="10" spans="1:4" ht="30" x14ac:dyDescent="0.25">
      <c r="A10" s="7" t="s">
        <v>8</v>
      </c>
      <c r="B10" s="13" t="s">
        <v>22</v>
      </c>
      <c r="C10" s="14"/>
      <c r="D10" s="15" t="s">
        <v>110</v>
      </c>
    </row>
    <row r="14" spans="1:4" x14ac:dyDescent="0.25">
      <c r="A14" s="16" t="s">
        <v>10</v>
      </c>
      <c r="B14" s="30">
        <f>IF(caf="Oui", VLOOKUP(B9,nb_enfants,2,FALSE)*MIN(plafond_caf, MAX(plancher_caf, revenus_net/12)), SUMIF(tx_non_caf, "&lt;"&amp;revenus_net,param!D12:D14))</f>
        <v>0.49581899999999995</v>
      </c>
      <c r="D14" s="28"/>
    </row>
    <row r="17" spans="1:4" ht="60" x14ac:dyDescent="0.25">
      <c r="B17" s="17" t="s">
        <v>11</v>
      </c>
      <c r="C17" s="17" t="s">
        <v>12</v>
      </c>
      <c r="D17" s="17" t="s">
        <v>13</v>
      </c>
    </row>
    <row r="18" spans="1:4" x14ac:dyDescent="0.25">
      <c r="A18" s="31" t="str">
        <f>IF(B18=0,"","Accueil occasionnel")</f>
        <v/>
      </c>
      <c r="B18" s="18">
        <f>IF(B19&lt;&gt;0,0,HLOOKUP(VLOOKUP($B$10,type_acceuil,2,FALSE),tbl_annee,13,FALSE))</f>
        <v>0</v>
      </c>
      <c r="C18" s="19">
        <f>10*B18</f>
        <v>0</v>
      </c>
      <c r="D18" s="20">
        <f t="shared" ref="D18:D28" si="0">tx_horaire*C18</f>
        <v>0</v>
      </c>
    </row>
    <row r="19" spans="1:4" x14ac:dyDescent="0.25">
      <c r="A19" s="31" t="str">
        <f>IF(B19=0,"","Septembre 2024")</f>
        <v>Septembre 2024</v>
      </c>
      <c r="B19" s="18">
        <f>HLOOKUP(VLOOKUP($B$10,type_acceuil, 2,FALSE), tbl_annee,2,FALSE)</f>
        <v>21</v>
      </c>
      <c r="C19" s="19">
        <f>10*B19</f>
        <v>210</v>
      </c>
      <c r="D19" s="20">
        <f t="shared" si="0"/>
        <v>104.12199</v>
      </c>
    </row>
    <row r="20" spans="1:4" x14ac:dyDescent="0.25">
      <c r="A20" s="31" t="str">
        <f>IF(B20=0,"","Octobre 2024")</f>
        <v>Octobre 2024</v>
      </c>
      <c r="B20" s="18">
        <f>HLOOKUP(VLOOKUP($B$10,type_acceuil, 2,FALSE), tbl_annee,3,FALSE)</f>
        <v>14</v>
      </c>
      <c r="C20" s="19">
        <f t="shared" ref="C20:C28" si="1">10*B20</f>
        <v>140</v>
      </c>
      <c r="D20" s="20">
        <f t="shared" si="0"/>
        <v>69.414659999999998</v>
      </c>
    </row>
    <row r="21" spans="1:4" x14ac:dyDescent="0.25">
      <c r="A21" s="31" t="str">
        <f>IF(B21=0,"","Novembre 2024")</f>
        <v>Novembre 2024</v>
      </c>
      <c r="B21" s="18">
        <f>HLOOKUP(VLOOKUP($B$10,type_acceuil, 2,FALSE), tbl_annee,4,FALSE)</f>
        <v>18</v>
      </c>
      <c r="C21" s="19">
        <f t="shared" si="1"/>
        <v>180</v>
      </c>
      <c r="D21" s="20">
        <f t="shared" si="0"/>
        <v>89.247419999999991</v>
      </c>
    </row>
    <row r="22" spans="1:4" x14ac:dyDescent="0.25">
      <c r="A22" s="31" t="str">
        <f>IF(B22=0,"","Decembre 2024")</f>
        <v>Decembre 2024</v>
      </c>
      <c r="B22" s="18">
        <f>HLOOKUP(VLOOKUP($B$10,type_acceuil, 2,FALSE), tbl_annee,5,FALSE)</f>
        <v>15</v>
      </c>
      <c r="C22" s="19">
        <f t="shared" si="1"/>
        <v>150</v>
      </c>
      <c r="D22" s="20">
        <f t="shared" si="0"/>
        <v>74.37285</v>
      </c>
    </row>
    <row r="23" spans="1:4" x14ac:dyDescent="0.25">
      <c r="A23" s="31" t="str">
        <f>IF(B23=0,"","Janvier 2025")</f>
        <v>Janvier 2025</v>
      </c>
      <c r="B23" s="18">
        <f>HLOOKUP(VLOOKUP($B$10,type_acceuil, 2,FALSE), tbl_annee,6,FALSE)</f>
        <v>20</v>
      </c>
      <c r="C23" s="19">
        <f t="shared" si="1"/>
        <v>200</v>
      </c>
      <c r="D23" s="20">
        <f t="shared" si="0"/>
        <v>99.163799999999995</v>
      </c>
    </row>
    <row r="24" spans="1:4" x14ac:dyDescent="0.25">
      <c r="A24" s="31" t="str">
        <f>IF(B24=0,"","Fevrier 2025")</f>
        <v>Fevrier 2025</v>
      </c>
      <c r="B24" s="18">
        <f>HLOOKUP(VLOOKUP($B$10,type_acceuil, 2,FALSE), tbl_annee,7,FALSE)</f>
        <v>10</v>
      </c>
      <c r="C24" s="19">
        <f t="shared" si="1"/>
        <v>100</v>
      </c>
      <c r="D24" s="20">
        <f t="shared" si="0"/>
        <v>49.581899999999997</v>
      </c>
    </row>
    <row r="25" spans="1:4" x14ac:dyDescent="0.25">
      <c r="A25" s="31" t="str">
        <f>IF(B25=0,"","Mars 2025")</f>
        <v>Mars 2025</v>
      </c>
      <c r="B25" s="18">
        <f>HLOOKUP(VLOOKUP($B$10,type_acceuil, 2,FALSE), tbl_annee,8,FALSE)</f>
        <v>21</v>
      </c>
      <c r="C25" s="19">
        <f t="shared" si="1"/>
        <v>210</v>
      </c>
      <c r="D25" s="20">
        <f t="shared" si="0"/>
        <v>104.12199</v>
      </c>
    </row>
    <row r="26" spans="1:4" x14ac:dyDescent="0.25">
      <c r="A26" s="31" t="str">
        <f>IF(B26=0,"","Avril 2025")</f>
        <v>Avril 2025</v>
      </c>
      <c r="B26" s="18">
        <f>HLOOKUP(VLOOKUP($B$10,type_acceuil, 2,FALSE), tbl_annee,9,FALSE)</f>
        <v>11</v>
      </c>
      <c r="C26" s="19">
        <f t="shared" si="1"/>
        <v>110</v>
      </c>
      <c r="D26" s="20">
        <f t="shared" si="0"/>
        <v>54.540089999999992</v>
      </c>
    </row>
    <row r="27" spans="1:4" x14ac:dyDescent="0.25">
      <c r="A27" s="31" t="str">
        <f>IF(B27=0,"","Mai 2025")</f>
        <v>Mai 2025</v>
      </c>
      <c r="B27" s="18">
        <f>HLOOKUP(VLOOKUP($B$10,type_acceuil, 2,FALSE), tbl_annee,10,FALSE)</f>
        <v>18</v>
      </c>
      <c r="C27" s="19">
        <f t="shared" si="1"/>
        <v>180</v>
      </c>
      <c r="D27" s="20">
        <f t="shared" si="0"/>
        <v>89.247419999999991</v>
      </c>
    </row>
    <row r="28" spans="1:4" x14ac:dyDescent="0.25">
      <c r="A28" s="31" t="str">
        <f>IF(B28=0,"","Juin 2025")</f>
        <v>Juin 2025</v>
      </c>
      <c r="B28" s="18">
        <f>HLOOKUP(VLOOKUP($B$10,type_acceuil, 2,FALSE), tbl_annee,11,FALSE)</f>
        <v>20</v>
      </c>
      <c r="C28" s="19">
        <f t="shared" si="1"/>
        <v>200</v>
      </c>
      <c r="D28" s="20">
        <f t="shared" si="0"/>
        <v>99.163799999999995</v>
      </c>
    </row>
    <row r="29" spans="1:4" x14ac:dyDescent="0.25">
      <c r="A29" s="31" t="str">
        <f>IF(B29=0,"","Juillet 2025")</f>
        <v>Juillet 2025</v>
      </c>
      <c r="B29" s="18">
        <f>HLOOKUP(VLOOKUP($B$10,type_acceuil, 2,FALSE), tbl_annee,12,FALSE)</f>
        <v>4</v>
      </c>
      <c r="C29" s="19">
        <f t="shared" ref="C29" si="2">10*B29</f>
        <v>40</v>
      </c>
      <c r="D29" s="20">
        <f t="shared" ref="D29" si="3">tx_horaire*C29</f>
        <v>19.832759999999997</v>
      </c>
    </row>
    <row r="30" spans="1:4" x14ac:dyDescent="0.25">
      <c r="C30" s="21"/>
      <c r="D30" s="21"/>
    </row>
    <row r="31" spans="1:4" x14ac:dyDescent="0.25">
      <c r="A31" s="22" t="s">
        <v>14</v>
      </c>
      <c r="B31" s="23">
        <f>IF(ISERROR(AVERAGE(B19:B29)),"",ROUND(AVERAGE(B19:B29),1))</f>
        <v>15.6</v>
      </c>
      <c r="C31" s="19">
        <f>IF(ISERROR(AVERAGE(C19:C29)),"",AVERAGE(C19:C29))</f>
        <v>156.36363636363637</v>
      </c>
      <c r="D31" s="20">
        <f>tx_horaire*C31</f>
        <v>77.528061818181811</v>
      </c>
    </row>
    <row r="33" spans="1:4" x14ac:dyDescent="0.25">
      <c r="A33" s="24" t="s">
        <v>15</v>
      </c>
      <c r="B33" s="20">
        <f>HLOOKUP(VLOOKUP(B10,type_acceuil,2,FALSE),contrib_valeur,COUNTIF(contrib_vol, "&lt;"&amp;revenus_net)+1,FALSE)</f>
        <v>400</v>
      </c>
      <c r="C33" s="25"/>
      <c r="D33" s="25" t="s">
        <v>16</v>
      </c>
    </row>
    <row r="34" spans="1:4" x14ac:dyDescent="0.25">
      <c r="A34" s="24" t="s">
        <v>17</v>
      </c>
      <c r="B34" s="32">
        <f>34%*B33</f>
        <v>136</v>
      </c>
    </row>
    <row r="35" spans="1:4" ht="56.65" customHeight="1" x14ac:dyDescent="0.25">
      <c r="A35" s="41" t="s">
        <v>109</v>
      </c>
      <c r="B35" s="41"/>
      <c r="C35" s="41"/>
      <c r="D35" s="41"/>
    </row>
  </sheetData>
  <mergeCells count="1">
    <mergeCell ref="A35:D35"/>
  </mergeCells>
  <conditionalFormatting sqref="B18:D29">
    <cfRule type="cellIs" dxfId="0" priority="7" operator="equal">
      <formula>0</formula>
    </cfRule>
  </conditionalFormatting>
  <dataValidations count="1">
    <dataValidation type="list" allowBlank="1" showInputMessage="1" showErrorMessage="1" sqref="B7" xr:uid="{00000000-0002-0000-0000-000000000000}">
      <formula1>"Oui,Non"</formula1>
    </dataValidation>
  </dataValidations>
  <pageMargins left="0.7" right="0.7" top="0.75" bottom="0.75" header="0.3" footer="0.3"/>
  <pageSetup orientation="portrait" verticalDpi="598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param!$A$18:$A$21</xm:f>
          </x14:formula1>
          <xm:sqref>B10</xm:sqref>
        </x14:dataValidation>
        <x14:dataValidation type="list" allowBlank="1" showInputMessage="1" showErrorMessage="1" xr:uid="{00000000-0002-0000-0000-000002000000}">
          <x14:formula1>
            <xm:f>param!$A$3:$A$6</xm:f>
          </x14:formula1>
          <xm:sqref>B9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1"/>
  <sheetViews>
    <sheetView topLeftCell="A49" workbookViewId="0">
      <selection activeCell="I24" sqref="I24"/>
    </sheetView>
  </sheetViews>
  <sheetFormatPr baseColWidth="10" defaultColWidth="10.85546875" defaultRowHeight="15" x14ac:dyDescent="0.25"/>
  <cols>
    <col min="1" max="1" width="90" customWidth="1"/>
  </cols>
  <sheetData>
    <row r="1" spans="1:5" ht="18.75" x14ac:dyDescent="0.3">
      <c r="A1" s="33" t="s">
        <v>91</v>
      </c>
    </row>
    <row r="3" spans="1:5" x14ac:dyDescent="0.25">
      <c r="A3" s="34" t="s">
        <v>92</v>
      </c>
    </row>
    <row r="5" spans="1:5" x14ac:dyDescent="0.25">
      <c r="E5" t="s">
        <v>93</v>
      </c>
    </row>
    <row r="15" spans="1:5" x14ac:dyDescent="0.25">
      <c r="A15" s="35"/>
    </row>
    <row r="31" spans="1:1" x14ac:dyDescent="0.25">
      <c r="A31" s="35"/>
    </row>
    <row r="32" spans="1:1" x14ac:dyDescent="0.25">
      <c r="A32" s="35"/>
    </row>
    <row r="51" spans="1:1" x14ac:dyDescent="0.25">
      <c r="A51" s="35"/>
    </row>
    <row r="61" spans="1:1" x14ac:dyDescent="0.25">
      <c r="A61" s="35"/>
    </row>
  </sheetData>
  <pageMargins left="0.7" right="0.7" top="0.75" bottom="0.75" header="0.3" footer="0.3"/>
  <pageSetup orientation="portrait" verticalDpi="598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10"/>
  <sheetViews>
    <sheetView topLeftCell="G1" workbookViewId="0">
      <selection sqref="A1:XFD1048576"/>
    </sheetView>
  </sheetViews>
  <sheetFormatPr baseColWidth="10" defaultColWidth="10.85546875" defaultRowHeight="15" x14ac:dyDescent="0.25"/>
  <sheetData>
    <row r="2" spans="1:10" ht="15.75" x14ac:dyDescent="0.25">
      <c r="A2" s="36" t="s">
        <v>94</v>
      </c>
    </row>
    <row r="4" spans="1:10" ht="15.75" x14ac:dyDescent="0.25">
      <c r="J4" s="36" t="s">
        <v>95</v>
      </c>
    </row>
    <row r="10" spans="1:10" x14ac:dyDescent="0.25">
      <c r="J10" s="6"/>
    </row>
  </sheetData>
  <pageMargins left="0.7" right="0.7" top="0.75" bottom="0.75" header="0.3" footer="0.3"/>
  <pageSetup orientation="portrait" verticalDpi="598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G39" sqref="G39"/>
    </sheetView>
  </sheetViews>
  <sheetFormatPr baseColWidth="10" defaultColWidth="10.85546875" defaultRowHeight="15" x14ac:dyDescent="0.25"/>
  <cols>
    <col min="1" max="1" width="10.7109375" customWidth="1"/>
  </cols>
  <sheetData>
    <row r="1" spans="1:1" x14ac:dyDescent="0.25">
      <c r="A1" s="37"/>
    </row>
    <row r="2" spans="1:1" x14ac:dyDescent="0.25">
      <c r="A2" s="38"/>
    </row>
    <row r="3" spans="1:1" x14ac:dyDescent="0.25">
      <c r="A3" s="38"/>
    </row>
    <row r="4" spans="1:1" ht="15.75" x14ac:dyDescent="0.25">
      <c r="A4" s="39"/>
    </row>
  </sheetData>
  <pageMargins left="0.7" right="0.7" top="0.75" bottom="0.75" header="0.3" footer="0.3"/>
  <pageSetup orientation="portrait" verticalDpi="598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8"/>
  <sheetViews>
    <sheetView zoomScale="70" zoomScaleNormal="70" workbookViewId="0">
      <selection activeCell="E20" sqref="E20"/>
    </sheetView>
  </sheetViews>
  <sheetFormatPr baseColWidth="10" defaultColWidth="8.85546875" defaultRowHeight="15" x14ac:dyDescent="0.25"/>
  <cols>
    <col min="1" max="1" width="59.28515625" customWidth="1"/>
    <col min="2" max="2" width="16" customWidth="1"/>
    <col min="3" max="3" width="20.28515625" bestFit="1" customWidth="1"/>
    <col min="4" max="4" width="13.140625" customWidth="1"/>
    <col min="5" max="5" width="16.7109375" customWidth="1"/>
  </cols>
  <sheetData>
    <row r="1" spans="1:4" x14ac:dyDescent="0.25">
      <c r="A1" s="25" t="s">
        <v>81</v>
      </c>
    </row>
    <row r="2" spans="1:4" x14ac:dyDescent="0.25">
      <c r="A2" t="s">
        <v>18</v>
      </c>
      <c r="B2" t="s">
        <v>107</v>
      </c>
    </row>
    <row r="3" spans="1:4" x14ac:dyDescent="0.25">
      <c r="A3">
        <v>1</v>
      </c>
      <c r="B3" s="26">
        <v>6.1899999999999998E-4</v>
      </c>
    </row>
    <row r="4" spans="1:4" x14ac:dyDescent="0.25">
      <c r="A4">
        <v>2</v>
      </c>
      <c r="B4" s="26">
        <v>5.1599999999999997E-4</v>
      </c>
    </row>
    <row r="5" spans="1:4" x14ac:dyDescent="0.25">
      <c r="A5">
        <v>3</v>
      </c>
      <c r="B5" s="26">
        <v>4.1300000000000001E-4</v>
      </c>
    </row>
    <row r="6" spans="1:4" x14ac:dyDescent="0.25">
      <c r="A6" t="s">
        <v>19</v>
      </c>
      <c r="B6" s="26">
        <v>3.1E-4</v>
      </c>
    </row>
    <row r="8" spans="1:4" x14ac:dyDescent="0.25">
      <c r="A8" t="s">
        <v>114</v>
      </c>
      <c r="B8" s="27">
        <v>7000</v>
      </c>
    </row>
    <row r="9" spans="1:4" x14ac:dyDescent="0.25">
      <c r="A9" t="s">
        <v>113</v>
      </c>
      <c r="B9" s="28">
        <v>801</v>
      </c>
    </row>
    <row r="10" spans="1:4" x14ac:dyDescent="0.25">
      <c r="B10" s="28"/>
    </row>
    <row r="11" spans="1:4" x14ac:dyDescent="0.25">
      <c r="A11" s="25" t="s">
        <v>82</v>
      </c>
      <c r="B11" s="28" t="s">
        <v>83</v>
      </c>
      <c r="C11" t="s">
        <v>84</v>
      </c>
      <c r="D11" t="s">
        <v>97</v>
      </c>
    </row>
    <row r="12" spans="1:4" x14ac:dyDescent="0.25">
      <c r="A12" t="s">
        <v>85</v>
      </c>
      <c r="B12">
        <v>0</v>
      </c>
      <c r="C12">
        <v>2.2000000000000002</v>
      </c>
      <c r="D12">
        <f>C12</f>
        <v>2.2000000000000002</v>
      </c>
    </row>
    <row r="13" spans="1:4" x14ac:dyDescent="0.25">
      <c r="A13" t="s">
        <v>86</v>
      </c>
      <c r="B13" s="28">
        <v>20000</v>
      </c>
      <c r="C13">
        <v>3.33</v>
      </c>
      <c r="D13">
        <f>C13-C12</f>
        <v>1.1299999999999999</v>
      </c>
    </row>
    <row r="14" spans="1:4" x14ac:dyDescent="0.25">
      <c r="A14" t="s">
        <v>87</v>
      </c>
      <c r="B14" s="28">
        <v>25000</v>
      </c>
      <c r="C14">
        <v>4</v>
      </c>
      <c r="D14">
        <f>C14-C13</f>
        <v>0.66999999999999993</v>
      </c>
    </row>
    <row r="15" spans="1:4" x14ac:dyDescent="0.25">
      <c r="A15" s="25"/>
      <c r="B15" s="28"/>
    </row>
    <row r="17" spans="1:5" x14ac:dyDescent="0.25">
      <c r="A17" s="25" t="s">
        <v>20</v>
      </c>
      <c r="B17" s="25" t="s">
        <v>27</v>
      </c>
    </row>
    <row r="18" spans="1:5" x14ac:dyDescent="0.25">
      <c r="A18" t="s">
        <v>21</v>
      </c>
      <c r="B18" t="s">
        <v>28</v>
      </c>
    </row>
    <row r="19" spans="1:5" x14ac:dyDescent="0.25">
      <c r="A19" t="s">
        <v>111</v>
      </c>
      <c r="B19" t="s">
        <v>29</v>
      </c>
    </row>
    <row r="20" spans="1:5" x14ac:dyDescent="0.25">
      <c r="A20" t="s">
        <v>22</v>
      </c>
      <c r="B20" t="s">
        <v>30</v>
      </c>
    </row>
    <row r="21" spans="1:5" x14ac:dyDescent="0.25">
      <c r="A21" t="s">
        <v>23</v>
      </c>
      <c r="B21" t="s">
        <v>88</v>
      </c>
    </row>
    <row r="23" spans="1:5" x14ac:dyDescent="0.25">
      <c r="A23" s="25" t="s">
        <v>108</v>
      </c>
      <c r="B23" t="s">
        <v>24</v>
      </c>
      <c r="C23" t="s">
        <v>25</v>
      </c>
      <c r="D23" t="s">
        <v>89</v>
      </c>
      <c r="E23" t="s">
        <v>26</v>
      </c>
    </row>
    <row r="24" spans="1:5" x14ac:dyDescent="0.25">
      <c r="B24" t="s">
        <v>30</v>
      </c>
      <c r="C24" t="s">
        <v>28</v>
      </c>
      <c r="D24" t="s">
        <v>88</v>
      </c>
      <c r="E24" t="s">
        <v>29</v>
      </c>
    </row>
    <row r="25" spans="1:5" x14ac:dyDescent="0.25">
      <c r="A25" s="29">
        <v>45536</v>
      </c>
      <c r="B25">
        <v>21</v>
      </c>
      <c r="C25">
        <v>4</v>
      </c>
      <c r="D25">
        <v>0</v>
      </c>
      <c r="E25">
        <f t="shared" ref="E25:E35" si="0">B25-C25</f>
        <v>17</v>
      </c>
    </row>
    <row r="26" spans="1:5" x14ac:dyDescent="0.25">
      <c r="A26" s="29">
        <v>45566</v>
      </c>
      <c r="B26">
        <v>14</v>
      </c>
      <c r="C26">
        <v>3</v>
      </c>
      <c r="D26">
        <v>0</v>
      </c>
      <c r="E26">
        <f t="shared" si="0"/>
        <v>11</v>
      </c>
    </row>
    <row r="27" spans="1:5" x14ac:dyDescent="0.25">
      <c r="A27" s="29">
        <v>45597</v>
      </c>
      <c r="B27">
        <v>18</v>
      </c>
      <c r="C27">
        <v>4</v>
      </c>
      <c r="D27">
        <v>0</v>
      </c>
      <c r="E27">
        <f t="shared" si="0"/>
        <v>14</v>
      </c>
    </row>
    <row r="28" spans="1:5" x14ac:dyDescent="0.25">
      <c r="A28" s="29">
        <v>45627</v>
      </c>
      <c r="B28">
        <v>15</v>
      </c>
      <c r="C28">
        <v>3</v>
      </c>
      <c r="D28">
        <v>0</v>
      </c>
      <c r="E28">
        <f t="shared" si="0"/>
        <v>12</v>
      </c>
    </row>
    <row r="29" spans="1:5" x14ac:dyDescent="0.25">
      <c r="A29" s="29">
        <v>45658</v>
      </c>
      <c r="B29">
        <v>20</v>
      </c>
      <c r="C29">
        <v>4</v>
      </c>
      <c r="D29">
        <v>0</v>
      </c>
      <c r="E29">
        <f t="shared" si="0"/>
        <v>16</v>
      </c>
    </row>
    <row r="30" spans="1:5" x14ac:dyDescent="0.25">
      <c r="A30" s="29">
        <v>45689</v>
      </c>
      <c r="B30">
        <v>10</v>
      </c>
      <c r="C30">
        <v>2</v>
      </c>
      <c r="D30">
        <v>0</v>
      </c>
      <c r="E30">
        <f t="shared" si="0"/>
        <v>8</v>
      </c>
    </row>
    <row r="31" spans="1:5" x14ac:dyDescent="0.25">
      <c r="A31" s="29">
        <v>45717</v>
      </c>
      <c r="B31">
        <v>21</v>
      </c>
      <c r="C31">
        <v>4</v>
      </c>
      <c r="D31">
        <v>0</v>
      </c>
      <c r="E31">
        <f t="shared" si="0"/>
        <v>17</v>
      </c>
    </row>
    <row r="32" spans="1:5" x14ac:dyDescent="0.25">
      <c r="A32" s="29">
        <v>45748</v>
      </c>
      <c r="B32">
        <v>11</v>
      </c>
      <c r="C32">
        <v>3</v>
      </c>
      <c r="D32">
        <v>0</v>
      </c>
      <c r="E32">
        <f t="shared" si="0"/>
        <v>8</v>
      </c>
    </row>
    <row r="33" spans="1:6" x14ac:dyDescent="0.25">
      <c r="A33" s="29">
        <v>45778</v>
      </c>
      <c r="B33">
        <v>18</v>
      </c>
      <c r="C33">
        <v>4</v>
      </c>
      <c r="D33">
        <v>0</v>
      </c>
      <c r="E33">
        <f t="shared" si="0"/>
        <v>14</v>
      </c>
    </row>
    <row r="34" spans="1:6" x14ac:dyDescent="0.25">
      <c r="A34" s="29">
        <v>45809</v>
      </c>
      <c r="B34">
        <v>20</v>
      </c>
      <c r="C34">
        <v>4</v>
      </c>
      <c r="D34">
        <v>0</v>
      </c>
      <c r="E34">
        <f t="shared" si="0"/>
        <v>16</v>
      </c>
    </row>
    <row r="35" spans="1:6" x14ac:dyDescent="0.25">
      <c r="A35" s="29">
        <v>45839</v>
      </c>
      <c r="B35">
        <v>4</v>
      </c>
      <c r="C35">
        <v>1</v>
      </c>
      <c r="D35">
        <v>0</v>
      </c>
      <c r="E35">
        <f t="shared" si="0"/>
        <v>3</v>
      </c>
    </row>
    <row r="36" spans="1:6" x14ac:dyDescent="0.25">
      <c r="A36" s="29" t="s">
        <v>90</v>
      </c>
      <c r="D36">
        <v>5</v>
      </c>
    </row>
    <row r="37" spans="1:6" x14ac:dyDescent="0.25">
      <c r="A37" s="29"/>
    </row>
    <row r="38" spans="1:6" x14ac:dyDescent="0.25">
      <c r="A38" s="25" t="s">
        <v>96</v>
      </c>
      <c r="B38" s="28" t="s">
        <v>83</v>
      </c>
      <c r="C38" t="s">
        <v>98</v>
      </c>
    </row>
    <row r="39" spans="1:6" x14ac:dyDescent="0.25">
      <c r="A39" t="s">
        <v>85</v>
      </c>
      <c r="B39">
        <v>0</v>
      </c>
      <c r="C39">
        <v>1</v>
      </c>
    </row>
    <row r="40" spans="1:6" x14ac:dyDescent="0.25">
      <c r="A40" t="s">
        <v>86</v>
      </c>
      <c r="B40" s="28">
        <v>20000</v>
      </c>
      <c r="C40">
        <v>2</v>
      </c>
    </row>
    <row r="41" spans="1:6" x14ac:dyDescent="0.25">
      <c r="A41" t="s">
        <v>87</v>
      </c>
      <c r="B41" s="28">
        <v>25000</v>
      </c>
      <c r="C41">
        <v>3</v>
      </c>
    </row>
    <row r="44" spans="1:6" x14ac:dyDescent="0.25">
      <c r="A44" s="25" t="s">
        <v>106</v>
      </c>
      <c r="C44" t="s">
        <v>103</v>
      </c>
      <c r="D44" t="s">
        <v>104</v>
      </c>
      <c r="E44" t="s">
        <v>105</v>
      </c>
      <c r="F44" t="s">
        <v>105</v>
      </c>
    </row>
    <row r="45" spans="1:6" x14ac:dyDescent="0.25">
      <c r="A45" s="40" t="s">
        <v>99</v>
      </c>
      <c r="B45" t="s">
        <v>98</v>
      </c>
      <c r="C45" t="s">
        <v>29</v>
      </c>
      <c r="D45" t="s">
        <v>30</v>
      </c>
      <c r="E45" t="s">
        <v>88</v>
      </c>
      <c r="F45" t="s">
        <v>28</v>
      </c>
    </row>
    <row r="46" spans="1:6" x14ac:dyDescent="0.25">
      <c r="A46" s="40" t="s">
        <v>100</v>
      </c>
      <c r="B46">
        <v>1</v>
      </c>
      <c r="C46">
        <v>400</v>
      </c>
      <c r="D46">
        <v>400</v>
      </c>
      <c r="E46">
        <v>40</v>
      </c>
      <c r="F46">
        <v>40</v>
      </c>
    </row>
    <row r="47" spans="1:6" x14ac:dyDescent="0.25">
      <c r="A47" s="40" t="s">
        <v>101</v>
      </c>
      <c r="B47">
        <v>2</v>
      </c>
      <c r="C47">
        <v>500</v>
      </c>
      <c r="D47">
        <v>500</v>
      </c>
      <c r="E47">
        <v>50</v>
      </c>
      <c r="F47">
        <v>50</v>
      </c>
    </row>
    <row r="48" spans="1:6" x14ac:dyDescent="0.25">
      <c r="A48" s="40" t="s">
        <v>102</v>
      </c>
      <c r="B48">
        <v>3</v>
      </c>
      <c r="C48">
        <v>600</v>
      </c>
      <c r="D48">
        <v>600</v>
      </c>
      <c r="E48">
        <v>60</v>
      </c>
      <c r="F48">
        <v>60</v>
      </c>
    </row>
  </sheetData>
  <pageMargins left="0.7" right="0.7" top="0.75" bottom="0.75" header="0.3" footer="0.3"/>
  <pageSetup orientation="portrait" verticalDpi="598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G81"/>
  <sheetViews>
    <sheetView topLeftCell="A46" workbookViewId="0">
      <selection activeCell="C74" sqref="C74"/>
    </sheetView>
  </sheetViews>
  <sheetFormatPr baseColWidth="10" defaultColWidth="8.85546875" defaultRowHeight="15" x14ac:dyDescent="0.25"/>
  <cols>
    <col min="1" max="1" width="63.140625" bestFit="1" customWidth="1"/>
    <col min="2" max="2" width="25" bestFit="1" customWidth="1"/>
    <col min="3" max="3" width="33.7109375" bestFit="1" customWidth="1"/>
    <col min="4" max="4" width="24.7109375" customWidth="1"/>
    <col min="5" max="5" width="25.28515625" bestFit="1" customWidth="1"/>
    <col min="6" max="7" width="1.7109375" bestFit="1" customWidth="1"/>
  </cols>
  <sheetData>
    <row r="2" spans="1:7" x14ac:dyDescent="0.25">
      <c r="A2">
        <v>0</v>
      </c>
      <c r="B2" t="s">
        <v>31</v>
      </c>
      <c r="C2">
        <v>0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</row>
    <row r="5" spans="1:7" x14ac:dyDescent="0.25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</row>
    <row r="6" spans="1:7" x14ac:dyDescent="0.25">
      <c r="A6" t="s">
        <v>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 x14ac:dyDescent="0.25">
      <c r="A7" t="s">
        <v>33</v>
      </c>
      <c r="B7" t="s">
        <v>34</v>
      </c>
      <c r="C7">
        <v>0</v>
      </c>
      <c r="D7">
        <v>0</v>
      </c>
      <c r="E7">
        <v>0</v>
      </c>
      <c r="F7">
        <v>0</v>
      </c>
      <c r="G7">
        <v>0</v>
      </c>
    </row>
    <row r="8" spans="1:7" x14ac:dyDescent="0.25">
      <c r="A8" t="s">
        <v>35</v>
      </c>
      <c r="B8" t="s">
        <v>36</v>
      </c>
      <c r="C8">
        <v>0</v>
      </c>
      <c r="D8">
        <v>0</v>
      </c>
      <c r="E8">
        <v>0</v>
      </c>
      <c r="F8">
        <v>0</v>
      </c>
      <c r="G8">
        <v>0</v>
      </c>
    </row>
    <row r="9" spans="1:7" x14ac:dyDescent="0.25">
      <c r="A9" t="s">
        <v>37</v>
      </c>
      <c r="B9">
        <v>5</v>
      </c>
      <c r="C9">
        <v>0</v>
      </c>
      <c r="D9">
        <v>0</v>
      </c>
      <c r="E9">
        <v>0</v>
      </c>
      <c r="F9">
        <v>0</v>
      </c>
      <c r="G9">
        <v>0</v>
      </c>
    </row>
    <row r="10" spans="1:7" x14ac:dyDescent="0.25">
      <c r="A10" t="s">
        <v>33</v>
      </c>
      <c r="B10" t="s">
        <v>34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 x14ac:dyDescent="0.25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</row>
    <row r="12" spans="1:7" x14ac:dyDescent="0.25">
      <c r="A12" t="s">
        <v>38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</row>
    <row r="13" spans="1:7" x14ac:dyDescent="0.25">
      <c r="A13" t="s">
        <v>39</v>
      </c>
      <c r="B13">
        <v>1</v>
      </c>
      <c r="C13">
        <v>2</v>
      </c>
      <c r="D13">
        <v>3</v>
      </c>
      <c r="E13" t="s">
        <v>19</v>
      </c>
      <c r="F13">
        <v>0</v>
      </c>
      <c r="G13">
        <v>0</v>
      </c>
    </row>
    <row r="14" spans="1:7" x14ac:dyDescent="0.25">
      <c r="A14" t="s">
        <v>40</v>
      </c>
      <c r="B14">
        <v>5.9999999999999995E-4</v>
      </c>
      <c r="C14">
        <v>5.0000000000000001E-4</v>
      </c>
      <c r="D14">
        <v>4.0000000000000002E-4</v>
      </c>
      <c r="E14">
        <v>2.9999999999999997E-4</v>
      </c>
      <c r="F14">
        <v>0</v>
      </c>
      <c r="G14">
        <v>0</v>
      </c>
    </row>
    <row r="15" spans="1:7" x14ac:dyDescent="0.25">
      <c r="A15">
        <v>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 x14ac:dyDescent="0.25">
      <c r="A16" t="s">
        <v>41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</row>
    <row r="17" spans="1:7" x14ac:dyDescent="0.25">
      <c r="A17" t="s">
        <v>42</v>
      </c>
      <c r="B17" t="s">
        <v>43</v>
      </c>
      <c r="C17" t="s">
        <v>44</v>
      </c>
      <c r="D17" t="s">
        <v>36</v>
      </c>
      <c r="E17">
        <v>0</v>
      </c>
      <c r="F17">
        <v>0</v>
      </c>
      <c r="G17">
        <v>0</v>
      </c>
    </row>
    <row r="18" spans="1:7" x14ac:dyDescent="0.25">
      <c r="A18" t="s">
        <v>45</v>
      </c>
      <c r="B18">
        <v>1.96</v>
      </c>
      <c r="C18">
        <v>2.96</v>
      </c>
      <c r="D18">
        <v>3.56</v>
      </c>
      <c r="E18">
        <v>0</v>
      </c>
      <c r="F18">
        <v>0</v>
      </c>
      <c r="G18">
        <v>0</v>
      </c>
    </row>
    <row r="19" spans="1:7" x14ac:dyDescent="0.25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</row>
    <row r="20" spans="1:7" x14ac:dyDescent="0.25">
      <c r="A20" t="s">
        <v>46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 x14ac:dyDescent="0.25">
      <c r="A21" t="s">
        <v>47</v>
      </c>
      <c r="B21">
        <v>8247.6</v>
      </c>
      <c r="C21">
        <v>0</v>
      </c>
      <c r="D21">
        <v>0</v>
      </c>
      <c r="E21">
        <v>0</v>
      </c>
      <c r="F21">
        <v>0</v>
      </c>
      <c r="G21">
        <v>0</v>
      </c>
    </row>
    <row r="22" spans="1:7" x14ac:dyDescent="0.25">
      <c r="A22" t="s">
        <v>48</v>
      </c>
      <c r="B22">
        <v>58495.44</v>
      </c>
      <c r="C22">
        <v>0</v>
      </c>
      <c r="D22">
        <v>0</v>
      </c>
      <c r="E22">
        <v>0</v>
      </c>
      <c r="F22">
        <v>0</v>
      </c>
      <c r="G22">
        <v>0</v>
      </c>
    </row>
    <row r="23" spans="1:7" x14ac:dyDescent="0.25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 x14ac:dyDescent="0.25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</row>
    <row r="25" spans="1:7" x14ac:dyDescent="0.25">
      <c r="A25" t="s">
        <v>49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</row>
    <row r="26" spans="1:7" x14ac:dyDescent="0.25">
      <c r="A26" t="s">
        <v>4</v>
      </c>
      <c r="B26" t="s">
        <v>5</v>
      </c>
      <c r="C26">
        <v>0</v>
      </c>
      <c r="D26">
        <v>0</v>
      </c>
      <c r="E26">
        <v>0</v>
      </c>
      <c r="F26">
        <v>0</v>
      </c>
      <c r="G26">
        <v>0</v>
      </c>
    </row>
    <row r="27" spans="1:7" x14ac:dyDescent="0.25">
      <c r="A27">
        <v>0</v>
      </c>
      <c r="B27" t="s">
        <v>50</v>
      </c>
      <c r="C27">
        <v>0</v>
      </c>
      <c r="D27">
        <v>0</v>
      </c>
      <c r="E27">
        <v>0</v>
      </c>
      <c r="F27">
        <v>0</v>
      </c>
      <c r="G27">
        <v>0</v>
      </c>
    </row>
    <row r="28" spans="1:7" x14ac:dyDescent="0.25">
      <c r="A28">
        <v>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</row>
    <row r="29" spans="1:7" x14ac:dyDescent="0.25">
      <c r="A29" t="s">
        <v>51</v>
      </c>
      <c r="B29" t="s">
        <v>52</v>
      </c>
      <c r="C29">
        <v>0</v>
      </c>
      <c r="D29">
        <v>0</v>
      </c>
      <c r="E29">
        <v>0</v>
      </c>
      <c r="F29">
        <v>0</v>
      </c>
      <c r="G29">
        <v>0</v>
      </c>
    </row>
    <row r="30" spans="1:7" x14ac:dyDescent="0.25">
      <c r="A30" t="s">
        <v>53</v>
      </c>
      <c r="B30">
        <v>4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 x14ac:dyDescent="0.25">
      <c r="A31" t="s">
        <v>54</v>
      </c>
      <c r="B31">
        <v>5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 x14ac:dyDescent="0.25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</row>
    <row r="33" spans="1:7" x14ac:dyDescent="0.25">
      <c r="A33" t="s">
        <v>55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</row>
    <row r="34" spans="1:7" x14ac:dyDescent="0.25">
      <c r="A34" t="s">
        <v>56</v>
      </c>
      <c r="B34" t="s">
        <v>57</v>
      </c>
      <c r="C34" t="s">
        <v>56</v>
      </c>
      <c r="D34" t="s">
        <v>51</v>
      </c>
      <c r="E34">
        <v>0</v>
      </c>
      <c r="F34">
        <v>0</v>
      </c>
      <c r="G34">
        <v>0</v>
      </c>
    </row>
    <row r="35" spans="1:7" x14ac:dyDescent="0.25">
      <c r="A35" t="s">
        <v>58</v>
      </c>
      <c r="B35">
        <v>5</v>
      </c>
      <c r="C35" t="s">
        <v>59</v>
      </c>
      <c r="D35" t="s">
        <v>60</v>
      </c>
      <c r="E35">
        <v>0</v>
      </c>
      <c r="F35">
        <v>0</v>
      </c>
      <c r="G35">
        <v>0</v>
      </c>
    </row>
    <row r="36" spans="1:7" x14ac:dyDescent="0.25">
      <c r="A36" t="s">
        <v>9</v>
      </c>
      <c r="B36">
        <v>10</v>
      </c>
      <c r="C36" t="s">
        <v>59</v>
      </c>
      <c r="D36" t="s">
        <v>60</v>
      </c>
      <c r="E36">
        <v>0</v>
      </c>
      <c r="F36">
        <v>0</v>
      </c>
      <c r="G36">
        <v>0</v>
      </c>
    </row>
    <row r="37" spans="1:7" x14ac:dyDescent="0.25">
      <c r="A37" t="s">
        <v>61</v>
      </c>
      <c r="B37">
        <v>10</v>
      </c>
      <c r="C37" t="s">
        <v>59</v>
      </c>
      <c r="D37" t="s">
        <v>60</v>
      </c>
      <c r="E37">
        <v>0</v>
      </c>
      <c r="F37">
        <v>0</v>
      </c>
      <c r="G37">
        <v>0</v>
      </c>
    </row>
    <row r="38" spans="1:7" x14ac:dyDescent="0.25">
      <c r="A38" t="s">
        <v>62</v>
      </c>
      <c r="B38">
        <v>10</v>
      </c>
      <c r="C38" t="s">
        <v>63</v>
      </c>
      <c r="D38">
        <v>4</v>
      </c>
      <c r="E38">
        <v>0</v>
      </c>
      <c r="F38">
        <v>0</v>
      </c>
      <c r="G38">
        <v>0</v>
      </c>
    </row>
    <row r="39" spans="1:7" x14ac:dyDescent="0.25">
      <c r="A39" t="s">
        <v>64</v>
      </c>
      <c r="B39">
        <v>10</v>
      </c>
      <c r="C39" t="s">
        <v>63</v>
      </c>
      <c r="D39">
        <v>5</v>
      </c>
      <c r="E39">
        <v>0</v>
      </c>
      <c r="F39">
        <v>0</v>
      </c>
      <c r="G39">
        <v>0</v>
      </c>
    </row>
    <row r="40" spans="1:7" x14ac:dyDescent="0.25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 x14ac:dyDescent="0.25">
      <c r="A41" t="s">
        <v>65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</row>
    <row r="42" spans="1:7" x14ac:dyDescent="0.25">
      <c r="A42" t="s">
        <v>66</v>
      </c>
      <c r="B42" t="s">
        <v>67</v>
      </c>
      <c r="C42" t="s">
        <v>58</v>
      </c>
      <c r="D42" t="s">
        <v>9</v>
      </c>
      <c r="E42" t="s">
        <v>61</v>
      </c>
      <c r="F42">
        <v>0</v>
      </c>
      <c r="G42">
        <v>0</v>
      </c>
    </row>
    <row r="43" spans="1:7" x14ac:dyDescent="0.25">
      <c r="A43">
        <v>1</v>
      </c>
      <c r="B43" t="s">
        <v>68</v>
      </c>
      <c r="C43">
        <v>4</v>
      </c>
      <c r="D43">
        <v>18</v>
      </c>
      <c r="E43">
        <v>20</v>
      </c>
      <c r="F43">
        <v>0</v>
      </c>
      <c r="G43">
        <v>0</v>
      </c>
    </row>
    <row r="44" spans="1:7" x14ac:dyDescent="0.25">
      <c r="A44">
        <v>2</v>
      </c>
      <c r="B44" t="s">
        <v>69</v>
      </c>
      <c r="C44">
        <v>3</v>
      </c>
      <c r="D44">
        <v>13.5</v>
      </c>
      <c r="E44">
        <v>15</v>
      </c>
      <c r="F44">
        <v>0</v>
      </c>
      <c r="G44">
        <v>0</v>
      </c>
    </row>
    <row r="45" spans="1:7" x14ac:dyDescent="0.25">
      <c r="A45">
        <v>3</v>
      </c>
      <c r="B45" t="s">
        <v>70</v>
      </c>
      <c r="C45">
        <v>4</v>
      </c>
      <c r="D45">
        <v>18</v>
      </c>
      <c r="E45">
        <v>20</v>
      </c>
      <c r="F45">
        <v>0</v>
      </c>
      <c r="G45">
        <v>0</v>
      </c>
    </row>
    <row r="46" spans="1:7" x14ac:dyDescent="0.25">
      <c r="A46">
        <v>4</v>
      </c>
      <c r="B46" t="s">
        <v>71</v>
      </c>
      <c r="C46">
        <v>3</v>
      </c>
      <c r="D46">
        <v>13.5</v>
      </c>
      <c r="E46">
        <v>15</v>
      </c>
      <c r="F46">
        <v>0</v>
      </c>
      <c r="G46">
        <v>0</v>
      </c>
    </row>
    <row r="47" spans="1:7" x14ac:dyDescent="0.25">
      <c r="A47">
        <v>5</v>
      </c>
      <c r="B47" t="s">
        <v>72</v>
      </c>
      <c r="C47">
        <v>4</v>
      </c>
      <c r="D47">
        <v>17</v>
      </c>
      <c r="E47">
        <v>19</v>
      </c>
      <c r="F47">
        <v>0</v>
      </c>
      <c r="G47">
        <v>0</v>
      </c>
    </row>
    <row r="48" spans="1:7" x14ac:dyDescent="0.25">
      <c r="A48">
        <v>6</v>
      </c>
      <c r="B48" t="s">
        <v>73</v>
      </c>
      <c r="C48">
        <v>2</v>
      </c>
      <c r="D48">
        <v>9</v>
      </c>
      <c r="E48">
        <v>10</v>
      </c>
      <c r="F48">
        <v>0</v>
      </c>
      <c r="G48">
        <v>0</v>
      </c>
    </row>
    <row r="49" spans="1:7" x14ac:dyDescent="0.25">
      <c r="A49">
        <v>7</v>
      </c>
      <c r="B49" t="s">
        <v>74</v>
      </c>
      <c r="C49">
        <v>4</v>
      </c>
      <c r="D49">
        <v>19</v>
      </c>
      <c r="E49">
        <v>21</v>
      </c>
      <c r="F49">
        <v>0</v>
      </c>
      <c r="G49">
        <v>0</v>
      </c>
    </row>
    <row r="50" spans="1:7" x14ac:dyDescent="0.25">
      <c r="A50">
        <v>8</v>
      </c>
      <c r="B50" t="s">
        <v>75</v>
      </c>
      <c r="C50">
        <v>2</v>
      </c>
      <c r="D50">
        <v>10</v>
      </c>
      <c r="E50">
        <v>11</v>
      </c>
      <c r="F50">
        <v>0</v>
      </c>
      <c r="G50">
        <v>0</v>
      </c>
    </row>
    <row r="51" spans="1:7" x14ac:dyDescent="0.25">
      <c r="A51">
        <v>9</v>
      </c>
      <c r="B51" t="s">
        <v>76</v>
      </c>
      <c r="C51">
        <v>4</v>
      </c>
      <c r="D51">
        <v>19</v>
      </c>
      <c r="E51">
        <v>21</v>
      </c>
      <c r="F51">
        <v>0</v>
      </c>
      <c r="G51">
        <v>0</v>
      </c>
    </row>
    <row r="52" spans="1:7" x14ac:dyDescent="0.25">
      <c r="A52">
        <v>10</v>
      </c>
      <c r="B52" t="s">
        <v>77</v>
      </c>
      <c r="C52">
        <v>4</v>
      </c>
      <c r="D52">
        <v>17</v>
      </c>
      <c r="E52">
        <v>19</v>
      </c>
      <c r="F52">
        <v>0</v>
      </c>
      <c r="G52">
        <v>0</v>
      </c>
    </row>
    <row r="53" spans="1:7" x14ac:dyDescent="0.25">
      <c r="A53">
        <v>11</v>
      </c>
      <c r="B53" t="s">
        <v>78</v>
      </c>
      <c r="C53">
        <v>1</v>
      </c>
      <c r="D53">
        <v>4.5</v>
      </c>
      <c r="E53">
        <v>5</v>
      </c>
      <c r="F53">
        <v>0</v>
      </c>
      <c r="G53">
        <v>0</v>
      </c>
    </row>
    <row r="54" spans="1:7" x14ac:dyDescent="0.25">
      <c r="A54">
        <v>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 x14ac:dyDescent="0.25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 x14ac:dyDescent="0.25">
      <c r="A56" t="s">
        <v>79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 x14ac:dyDescent="0.25">
      <c r="A57">
        <v>0</v>
      </c>
      <c r="B57" t="s">
        <v>80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 x14ac:dyDescent="0.25">
      <c r="A58" t="s">
        <v>56</v>
      </c>
      <c r="B58" t="s">
        <v>43</v>
      </c>
      <c r="C58" t="s">
        <v>44</v>
      </c>
      <c r="D58" t="s">
        <v>36</v>
      </c>
      <c r="E58">
        <v>0</v>
      </c>
      <c r="F58">
        <v>0</v>
      </c>
      <c r="G58">
        <v>0</v>
      </c>
    </row>
    <row r="59" spans="1:7" x14ac:dyDescent="0.25">
      <c r="A59" t="s">
        <v>58</v>
      </c>
      <c r="B59">
        <v>104</v>
      </c>
      <c r="C59">
        <v>110</v>
      </c>
      <c r="D59">
        <v>120</v>
      </c>
      <c r="E59">
        <v>0</v>
      </c>
      <c r="F59">
        <v>0</v>
      </c>
      <c r="G59">
        <v>0</v>
      </c>
    </row>
    <row r="60" spans="1:7" x14ac:dyDescent="0.25">
      <c r="A60" t="s">
        <v>9</v>
      </c>
      <c r="B60">
        <v>1100</v>
      </c>
      <c r="C60">
        <v>1140</v>
      </c>
      <c r="D60">
        <v>1200</v>
      </c>
      <c r="E60">
        <v>0</v>
      </c>
      <c r="F60">
        <v>0</v>
      </c>
      <c r="G60">
        <v>0</v>
      </c>
    </row>
    <row r="61" spans="1:7" x14ac:dyDescent="0.25">
      <c r="A61" t="s">
        <v>61</v>
      </c>
      <c r="B61">
        <v>1200</v>
      </c>
      <c r="C61">
        <v>1240</v>
      </c>
      <c r="D61">
        <v>1300</v>
      </c>
      <c r="E61">
        <v>0</v>
      </c>
      <c r="F61">
        <v>0</v>
      </c>
      <c r="G61">
        <v>0</v>
      </c>
    </row>
    <row r="62" spans="1:7" x14ac:dyDescent="0.25">
      <c r="A62" t="s">
        <v>62</v>
      </c>
      <c r="B62">
        <v>110</v>
      </c>
      <c r="C62">
        <v>104</v>
      </c>
      <c r="D62">
        <v>120</v>
      </c>
      <c r="E62">
        <v>0</v>
      </c>
      <c r="F62">
        <v>0</v>
      </c>
      <c r="G62">
        <v>0</v>
      </c>
    </row>
    <row r="63" spans="1:7" x14ac:dyDescent="0.25">
      <c r="A63" t="s">
        <v>64</v>
      </c>
      <c r="B63">
        <v>110</v>
      </c>
      <c r="C63">
        <v>104</v>
      </c>
      <c r="D63">
        <v>120</v>
      </c>
      <c r="E63">
        <v>0</v>
      </c>
      <c r="F63">
        <v>0</v>
      </c>
      <c r="G63">
        <v>0</v>
      </c>
    </row>
    <row r="64" spans="1:7" x14ac:dyDescent="0.25">
      <c r="A64">
        <v>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</row>
    <row r="65" spans="1:7" x14ac:dyDescent="0.25">
      <c r="A65" t="s">
        <v>17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 x14ac:dyDescent="0.25">
      <c r="A66">
        <v>0</v>
      </c>
      <c r="B66" t="s">
        <v>80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 x14ac:dyDescent="0.25">
      <c r="A67" t="s">
        <v>56</v>
      </c>
      <c r="B67" t="s">
        <v>43</v>
      </c>
      <c r="C67" t="s">
        <v>44</v>
      </c>
      <c r="D67" t="s">
        <v>36</v>
      </c>
      <c r="E67">
        <v>0</v>
      </c>
      <c r="F67">
        <v>0</v>
      </c>
      <c r="G67">
        <v>0</v>
      </c>
    </row>
    <row r="68" spans="1:7" x14ac:dyDescent="0.25">
      <c r="A68" t="s">
        <v>58</v>
      </c>
      <c r="B68">
        <v>38</v>
      </c>
      <c r="C68">
        <v>40</v>
      </c>
      <c r="D68">
        <v>42</v>
      </c>
      <c r="E68">
        <v>0</v>
      </c>
      <c r="F68">
        <v>0</v>
      </c>
      <c r="G68">
        <v>0</v>
      </c>
    </row>
    <row r="69" spans="1:7" x14ac:dyDescent="0.25">
      <c r="A69" t="s">
        <v>9</v>
      </c>
      <c r="B69">
        <v>374</v>
      </c>
      <c r="C69">
        <v>388</v>
      </c>
      <c r="D69">
        <v>408</v>
      </c>
      <c r="E69">
        <v>0</v>
      </c>
      <c r="F69">
        <v>0</v>
      </c>
      <c r="G69">
        <v>0</v>
      </c>
    </row>
    <row r="70" spans="1:7" x14ac:dyDescent="0.25">
      <c r="A70" t="s">
        <v>61</v>
      </c>
      <c r="B70">
        <v>408</v>
      </c>
      <c r="C70">
        <v>422</v>
      </c>
      <c r="D70">
        <v>442</v>
      </c>
      <c r="E70">
        <v>0</v>
      </c>
      <c r="F70">
        <v>0</v>
      </c>
      <c r="G70">
        <v>0</v>
      </c>
    </row>
    <row r="71" spans="1:7" x14ac:dyDescent="0.25">
      <c r="A71" t="s">
        <v>62</v>
      </c>
      <c r="B71">
        <v>38</v>
      </c>
      <c r="C71">
        <v>40</v>
      </c>
      <c r="D71">
        <v>42</v>
      </c>
      <c r="E71">
        <v>0</v>
      </c>
      <c r="F71">
        <v>0</v>
      </c>
      <c r="G71">
        <v>0</v>
      </c>
    </row>
    <row r="72" spans="1:7" x14ac:dyDescent="0.25">
      <c r="A72" t="s">
        <v>64</v>
      </c>
      <c r="B72">
        <v>38</v>
      </c>
      <c r="C72">
        <v>40</v>
      </c>
      <c r="D72">
        <v>42</v>
      </c>
      <c r="E72">
        <v>0</v>
      </c>
      <c r="F72">
        <v>0</v>
      </c>
      <c r="G72">
        <v>0</v>
      </c>
    </row>
    <row r="73" spans="1:7" x14ac:dyDescent="0.25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</row>
    <row r="74" spans="1:7" x14ac:dyDescent="0.25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 x14ac:dyDescent="0.25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 x14ac:dyDescent="0.25">
      <c r="A76">
        <v>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 x14ac:dyDescent="0.25">
      <c r="A77">
        <v>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 x14ac:dyDescent="0.25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</row>
    <row r="79" spans="1:7" x14ac:dyDescent="0.25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 x14ac:dyDescent="0.25">
      <c r="A80">
        <v>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 x14ac:dyDescent="0.25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</sheetData>
  <pageMargins left="0.7" right="0.7" top="0.75" bottom="0.75" header="0.3" footer="0.3"/>
  <pageSetup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11</vt:i4>
      </vt:variant>
    </vt:vector>
  </HeadingPairs>
  <TitlesOfParts>
    <vt:vector size="17" baseType="lpstr">
      <vt:lpstr>Calcul</vt:lpstr>
      <vt:lpstr>Aide Allocataire CAF</vt:lpstr>
      <vt:lpstr>Aide Revenus</vt:lpstr>
      <vt:lpstr>Contribution volontaire</vt:lpstr>
      <vt:lpstr>param</vt:lpstr>
      <vt:lpstr>Sheet3</vt:lpstr>
      <vt:lpstr>caf</vt:lpstr>
      <vt:lpstr>contrib_valeur</vt:lpstr>
      <vt:lpstr>contrib_vol</vt:lpstr>
      <vt:lpstr>nb_enfants</vt:lpstr>
      <vt:lpstr>plafond_caf</vt:lpstr>
      <vt:lpstr>plancher_caf</vt:lpstr>
      <vt:lpstr>revenus_net</vt:lpstr>
      <vt:lpstr>tbl_annee</vt:lpstr>
      <vt:lpstr>tx_horaire</vt:lpstr>
      <vt:lpstr>tx_non_caf</vt:lpstr>
      <vt:lpstr>type_acceuil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Hoblingre, Guillaume</dc:creator>
  <cp:lastModifiedBy>Acer</cp:lastModifiedBy>
  <dcterms:created xsi:type="dcterms:W3CDTF">2020-01-09T08:34:03Z</dcterms:created>
  <dcterms:modified xsi:type="dcterms:W3CDTF">2025-01-27T19:59:27Z</dcterms:modified>
</cp:coreProperties>
</file>